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<sst xmlns="http://schemas.openxmlformats.org/spreadsheetml/2006/main" count="496" uniqueCount="92">
  <si>
    <t>Informacja z wykonania wydatków oświaty za 2010 rok</t>
  </si>
  <si>
    <t xml:space="preserve">                                                Biuro Obsługi Szkół</t>
  </si>
  <si>
    <t>Dz.</t>
  </si>
  <si>
    <t>Rozdz.</t>
  </si>
  <si>
    <t>§</t>
  </si>
  <si>
    <t>Wyszczególnienie</t>
  </si>
  <si>
    <t xml:space="preserve">Plan wg uchwały </t>
  </si>
  <si>
    <t xml:space="preserve">Plan po zmianach </t>
  </si>
  <si>
    <t>Wykonanie</t>
  </si>
  <si>
    <t>%</t>
  </si>
  <si>
    <t>Przedszkola</t>
  </si>
  <si>
    <t>Dotacja podmiotowa z budżetu</t>
  </si>
  <si>
    <t>Zakup usług pozostałych</t>
  </si>
  <si>
    <t>Dowożenie uczniów do szkół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</si>
  <si>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</si>
  <si>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</si>
  <si>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</si>
  <si>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</si>
  <si>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</si>
  <si>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Podróże służbowe krajowe</t>
  </si>
  <si>
    <t>Różne opł.i składki</t>
  </si>
  <si>
    <t>Odpisy na zakładowy fundusz świadczeń socjalnych</t>
  </si>
  <si>
    <t>Zespoły obsługi ekonomiczno-administracyjnej szkół</t>
  </si>
  <si>
    <t>Wynagrodzenia bezosobowe</t>
  </si>
  <si>
    <t>Zakup energii</t>
  </si>
  <si>
    <t>Zakup usług zdrowotnych</t>
  </si>
  <si>
    <t>Opłaty z tytułu usług telekomunikacyjnych telefonii stacjonarnej</t>
  </si>
  <si>
    <t>Opłaty czynszowe za pomieszczenia biurowe</t>
  </si>
  <si>
    <t>Różne opłaty i składki</t>
  </si>
  <si>
    <t>Szkolenie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</si>
  <si>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</si>
  <si>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</si>
  <si>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Pozostała działalność</t>
  </si>
  <si>
    <t>Razem dział: 801</t>
  </si>
  <si>
    <t>Pomoc materialna dla uczniów</t>
  </si>
  <si>
    <t>Stypendia dla uczniów</t>
  </si>
  <si>
    <t>Razem dział: 854</t>
  </si>
  <si>
    <t>OGÓŁEM :</t>
  </si>
  <si>
    <t>Zespół Szkół Ogólnokształcących w Wydminach</t>
  </si>
  <si>
    <t>Szkoły podstawowe</t>
  </si>
  <si>
    <t>Wydatki osobowe niezaliczone do wynagrodzeń</t>
  </si>
  <si>
    <t>Zakup pomocy naukowych, dydaktycznych i książek</t>
  </si>
  <si>
    <t>Zakup usług remontowych</t>
  </si>
  <si>
    <t>Zakup usług dostępu do sieci Internet</t>
  </si>
  <si>
    <t>Opłaty z tytułu zakupu usług telekomunikacyjnych telefonii stacjonarnej</t>
  </si>
  <si>
    <t>Oddziały przedszkolne w szkołach podstawowych</t>
  </si>
  <si>
    <t>Gimnazja</t>
  </si>
  <si>
    <t>Nagrody i wydatki osobowe niezaliczone do wynagrodzeń</t>
  </si>
  <si>
    <t>Licea ogólnokształcące</t>
  </si>
  <si>
    <t>Dokształcanie i doskonalenie nauczycieli</t>
  </si>
  <si>
    <t>Stołówki szkolne</t>
  </si>
  <si>
    <t>Składki na ubezp. społ.</t>
  </si>
  <si>
    <t xml:space="preserve">Składki na Fundusz Pracy </t>
  </si>
  <si>
    <t xml:space="preserve"> </t>
  </si>
  <si>
    <t xml:space="preserve">Wynagrodzenia bezosobowe </t>
  </si>
  <si>
    <t xml:space="preserve">Zakup usług pozostałych </t>
  </si>
  <si>
    <t>Razem dział: 852</t>
  </si>
  <si>
    <t>Świetlice szkolne</t>
  </si>
  <si>
    <t>INNE</t>
  </si>
  <si>
    <t>Zespół Szkół w Gawlikach Wielkich</t>
  </si>
  <si>
    <t>Wydatki inwestycyjne jednostek budżetowych</t>
  </si>
  <si>
    <t>Szkoła Podstawowa w Talkach</t>
  </si>
  <si>
    <t>Szkoła Podstawowa w Zelkach</t>
  </si>
  <si>
    <t>Szkoła Podstawowa w Orłowie</t>
  </si>
  <si>
    <t xml:space="preserve"> ZESTAWIENIE DOCHODÓW I WYDATKÓW RACHUNKU DOCHODÓW </t>
  </si>
  <si>
    <t xml:space="preserve">             WŁASNYCH ZA II PÓŁROCZE 2010 ROKU</t>
  </si>
  <si>
    <t>ZESPÓŁ SZKÓŁ OGÓLNOKSZTAŁCĄCYCH W WYDMINACH</t>
  </si>
  <si>
    <t>DOCHODY</t>
  </si>
  <si>
    <t>Dział</t>
  </si>
  <si>
    <t>rozdział</t>
  </si>
  <si>
    <t xml:space="preserve">§ </t>
  </si>
  <si>
    <t>plan wg uchwały</t>
  </si>
  <si>
    <t>plan po zmianach</t>
  </si>
  <si>
    <t>wykonanie</t>
  </si>
  <si>
    <t xml:space="preserve">0 8 3 0 </t>
  </si>
  <si>
    <t xml:space="preserve">0 9 2 0 </t>
  </si>
  <si>
    <t xml:space="preserve">0 9 6 0 </t>
  </si>
  <si>
    <t>Ogółem</t>
  </si>
  <si>
    <t>WYDATKI</t>
  </si>
  <si>
    <t>Stan środków pieniężnych na początek okresu sprawozdawcz.</t>
  </si>
  <si>
    <t>Stan środków pieniężnych na koniec okresu sprawozdawcz.</t>
  </si>
  <si>
    <t>Na koniec 2010 roku zobowiązania nie wystąpiły.</t>
  </si>
  <si>
    <t xml:space="preserve">                        WŁASNYCH ZA I PÓŁROCZE 2010 ROKU</t>
  </si>
  <si>
    <t xml:space="preserve">         SZKOŁA PODSTAWOWA W GAWLIKACH WIELKICH</t>
  </si>
  <si>
    <t>Rozdział</t>
  </si>
  <si>
    <t>Plan wg uchwały</t>
  </si>
  <si>
    <t>Plan po zmianach</t>
  </si>
  <si>
    <t>0 8 3 0</t>
  </si>
  <si>
    <t>0 9 2 0</t>
  </si>
  <si>
    <t>Stan środków pieniężnych na koniec okresu sprawozdawczego</t>
  </si>
  <si>
    <t xml:space="preserve">                        WŁASNYCH ZA II PÓŁROCZE 2010 ROKU</t>
  </si>
  <si>
    <t xml:space="preserve">                      SZKOŁA PODSTAWOWA W TALKACH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</si>
</sst>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\ #,##0.00&quot; zł &quot;;\-#,##0.00&quot; zł &quot;;&quot; -&quot;#&quot; zł &quot;;@\ "/>
  </numFmts>
  <fonts count="18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/>
    </xf>
    <xf numFmtId="4" fontId="7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/>
    </xf>
    <xf numFmtId="4" fontId="7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49" fontId="7" fillId="2" borderId="1" xfId="0" applyNumberFormat="1" applyFont="1" applyFill="1" applyBorder="1" applyAlignment="1">
      <alignment wrapText="1"/>
    </xf>
    <xf numFmtId="166" fontId="7" fillId="2" borderId="1" xfId="18" applyFont="1" applyFill="1" applyBorder="1" applyAlignment="1" applyProtection="1">
      <alignment wrapText="1"/>
      <protection/>
    </xf>
    <xf numFmtId="4" fontId="7" fillId="2" borderId="1" xfId="18" applyNumberFormat="1" applyFont="1" applyFill="1" applyBorder="1" applyAlignment="1" applyProtection="1">
      <alignment wrapText="1"/>
      <protection/>
    </xf>
    <xf numFmtId="4" fontId="3" fillId="2" borderId="1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4" fontId="7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4" fontId="7" fillId="2" borderId="8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4" fontId="2" fillId="2" borderId="0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166" fontId="7" fillId="2" borderId="1" xfId="18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tabSelected="1" workbookViewId="0" topLeftCell="A1">
      <selection activeCell="J381" sqref="J381"/>
    </sheetView>
  </sheetViews>
  <sheetFormatPr defaultColWidth="9.140625" defaultRowHeight="12.75"/>
  <cols>
    <col min="1" max="1" width="5.00390625" style="0" customWidth="1"/>
    <col min="2" max="2" width="7.00390625" style="0" customWidth="1"/>
    <col min="3" max="3" width="5.421875" style="0" customWidth="1"/>
    <col min="4" max="4" width="31.00390625" style="0" customWidth="1"/>
    <col min="5" max="5" width="12.28125" style="0" customWidth="1"/>
    <col min="6" max="7" width="11.57421875" style="0" customWidth="1"/>
    <col min="8" max="8" width="6.7109375" style="0" customWidth="1"/>
    <col min="9" max="16384" width="11.57421875" style="0" customWidth="1"/>
  </cols>
  <sheetData>
    <row r="1" spans="1:8" ht="15">
      <c r="A1" s="122" t="s">
        <v>0</v>
      </c>
      <c r="B1" s="122"/>
      <c r="C1" s="122"/>
      <c r="D1" s="122"/>
      <c r="E1" s="122"/>
      <c r="F1" s="122"/>
      <c r="G1" s="122"/>
      <c r="H1" s="122"/>
    </row>
    <row r="2" spans="1:8" ht="19.5" customHeight="1">
      <c r="A2" s="123" t="s">
        <v>1</v>
      </c>
      <c r="B2" s="123"/>
      <c r="C2" s="123"/>
      <c r="D2" s="123"/>
      <c r="E2" s="123"/>
      <c r="F2" s="123"/>
      <c r="G2" s="123"/>
      <c r="H2" s="1"/>
    </row>
    <row r="4" spans="1:12" ht="25.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4" t="s">
        <v>9</v>
      </c>
      <c r="I4" s="5"/>
      <c r="J4" s="6"/>
      <c r="K4" s="7"/>
      <c r="L4" s="7"/>
    </row>
    <row r="5" spans="1:8" ht="12.75">
      <c r="A5" s="8">
        <v>801</v>
      </c>
      <c r="B5" s="9">
        <v>80104</v>
      </c>
      <c r="C5" s="9"/>
      <c r="D5" s="10" t="s">
        <v>10</v>
      </c>
      <c r="E5" s="11">
        <f>E6+E7</f>
        <v>68500</v>
      </c>
      <c r="F5" s="11">
        <f>SUM(F6:F7)</f>
        <v>66101</v>
      </c>
      <c r="G5" s="11">
        <f>SUM(G6:G7)</f>
        <v>65950.8</v>
      </c>
      <c r="H5" s="12">
        <f aca="true" t="shared" si="0" ref="H5:H42">(G5/F5)*100</f>
        <v>99.77277197016687</v>
      </c>
    </row>
    <row r="6" spans="1:8" ht="12.75">
      <c r="A6" s="13"/>
      <c r="B6" s="9"/>
      <c r="C6" s="14">
        <v>2540</v>
      </c>
      <c r="D6" s="15" t="s">
        <v>11</v>
      </c>
      <c r="E6" s="16">
        <v>43500</v>
      </c>
      <c r="F6" s="16">
        <v>43500</v>
      </c>
      <c r="G6" s="16">
        <v>43350</v>
      </c>
      <c r="H6" s="17">
        <f t="shared" si="0"/>
        <v>99.6551724137931</v>
      </c>
    </row>
    <row r="7" spans="1:8" ht="12.75">
      <c r="A7" s="13"/>
      <c r="B7" s="9"/>
      <c r="C7" s="14">
        <v>4300</v>
      </c>
      <c r="D7" s="15" t="s">
        <v>12</v>
      </c>
      <c r="E7" s="16">
        <v>25000</v>
      </c>
      <c r="F7" s="16">
        <v>22601</v>
      </c>
      <c r="G7" s="16">
        <v>22600.8</v>
      </c>
      <c r="H7" s="17">
        <f t="shared" si="0"/>
        <v>99.9991150834034</v>
      </c>
    </row>
    <row r="8" spans="1:8" ht="12.75">
      <c r="A8" s="8">
        <v>801</v>
      </c>
      <c r="B8" s="9">
        <v>80113</v>
      </c>
      <c r="C8" s="14"/>
      <c r="D8" s="18" t="s">
        <v>13</v>
      </c>
      <c r="E8" s="11">
        <f>SUM(E9:E17)</f>
        <v>381573</v>
      </c>
      <c r="F8" s="19">
        <f>SUM(F9:F17)</f>
        <v>424388</v>
      </c>
      <c r="G8" s="19">
        <f>SUM(G9:G17)</f>
        <v>421947.36</v>
      </c>
      <c r="H8" s="12">
        <f t="shared" si="0"/>
        <v>99.42490362592721</v>
      </c>
    </row>
    <row r="9" spans="1:8" ht="12.75">
      <c r="A9" s="13"/>
      <c r="B9" s="9"/>
      <c r="C9" s="14">
        <v>4010</v>
      </c>
      <c r="D9" s="15" t="s">
        <v>14</v>
      </c>
      <c r="E9" s="16">
        <v>18650</v>
      </c>
      <c r="F9" s="16">
        <v>30650</v>
      </c>
      <c r="G9" s="16">
        <v>29517.62</v>
      </c>
      <c r="H9" s="17">
        <f t="shared" si="0"/>
        <v>96.30544861337683</v>
      </c>
    </row>
    <row r="10" spans="1:8" ht="12.75">
      <c r="A10" s="13"/>
      <c r="B10" s="9"/>
      <c r="C10" s="14">
        <v>4040</v>
      </c>
      <c r="D10" s="15" t="s">
        <v>15</v>
      </c>
      <c r="E10" s="16">
        <v>2454</v>
      </c>
      <c r="F10" s="16">
        <v>2454</v>
      </c>
      <c r="G10" s="16">
        <v>2453.71</v>
      </c>
      <c r="H10" s="17">
        <f t="shared" si="0"/>
        <v>99.9881825590872</v>
      </c>
    </row>
    <row r="11" spans="1:8" ht="12.75">
      <c r="A11" s="13"/>
      <c r="B11" s="9"/>
      <c r="C11" s="14">
        <v>4110</v>
      </c>
      <c r="D11" s="15" t="s">
        <v>16</v>
      </c>
      <c r="E11" s="16">
        <v>5433</v>
      </c>
      <c r="F11" s="16">
        <v>5433</v>
      </c>
      <c r="G11" s="16">
        <v>4798.17</v>
      </c>
      <c r="H11" s="17">
        <f t="shared" si="0"/>
        <v>88.31529541689675</v>
      </c>
    </row>
    <row r="12" spans="1:8" ht="12.75">
      <c r="A12" s="13"/>
      <c r="B12" s="9"/>
      <c r="C12" s="14">
        <v>4120</v>
      </c>
      <c r="D12" s="15" t="s">
        <v>17</v>
      </c>
      <c r="E12" s="16">
        <v>836</v>
      </c>
      <c r="F12" s="16">
        <v>836</v>
      </c>
      <c r="G12" s="16">
        <v>307.85</v>
      </c>
      <c r="H12" s="17">
        <f t="shared" si="0"/>
        <v>36.82416267942584</v>
      </c>
    </row>
    <row r="13" spans="1:8" ht="12.75">
      <c r="A13" s="13"/>
      <c r="B13" s="9"/>
      <c r="C13" s="14">
        <v>4210</v>
      </c>
      <c r="D13" s="15" t="s">
        <v>18</v>
      </c>
      <c r="E13" s="16">
        <v>19000</v>
      </c>
      <c r="F13" s="16">
        <v>34116</v>
      </c>
      <c r="G13" s="16">
        <v>34082.59</v>
      </c>
      <c r="H13" s="17">
        <f t="shared" si="0"/>
        <v>99.90206941024738</v>
      </c>
    </row>
    <row r="14" spans="1:8" ht="12.75">
      <c r="A14" s="13"/>
      <c r="B14" s="9"/>
      <c r="C14" s="14">
        <v>4300</v>
      </c>
      <c r="D14" s="15" t="s">
        <v>12</v>
      </c>
      <c r="E14" s="16">
        <v>330850</v>
      </c>
      <c r="F14" s="16">
        <v>345651</v>
      </c>
      <c r="G14" s="16">
        <v>345650.61</v>
      </c>
      <c r="H14" s="17">
        <f t="shared" si="0"/>
        <v>99.99988716942812</v>
      </c>
    </row>
    <row r="15" spans="1:8" ht="12.75">
      <c r="A15" s="13"/>
      <c r="B15" s="9"/>
      <c r="C15" s="14">
        <v>4410</v>
      </c>
      <c r="D15" s="15" t="s">
        <v>19</v>
      </c>
      <c r="E15" s="16">
        <v>200</v>
      </c>
      <c r="F15" s="16">
        <v>1000</v>
      </c>
      <c r="G15" s="16">
        <v>888.81</v>
      </c>
      <c r="H15" s="17">
        <f t="shared" si="0"/>
        <v>88.881</v>
      </c>
    </row>
    <row r="16" spans="1:8" ht="12.75">
      <c r="A16" s="13"/>
      <c r="B16" s="9"/>
      <c r="C16" s="14">
        <v>4430</v>
      </c>
      <c r="D16" s="15" t="s">
        <v>20</v>
      </c>
      <c r="E16" s="16">
        <v>2500</v>
      </c>
      <c r="F16" s="16">
        <v>2676</v>
      </c>
      <c r="G16" s="16">
        <v>2676</v>
      </c>
      <c r="H16" s="17">
        <f t="shared" si="0"/>
        <v>100</v>
      </c>
    </row>
    <row r="17" spans="1:8" ht="25.5">
      <c r="A17" s="13"/>
      <c r="B17" s="14"/>
      <c r="C17" s="14">
        <v>4440</v>
      </c>
      <c r="D17" s="20" t="s">
        <v>21</v>
      </c>
      <c r="E17" s="21">
        <v>1650</v>
      </c>
      <c r="F17" s="16">
        <v>1572</v>
      </c>
      <c r="G17" s="16">
        <v>1572</v>
      </c>
      <c r="H17" s="17">
        <f t="shared" si="0"/>
        <v>100</v>
      </c>
    </row>
    <row r="18" spans="1:8" ht="25.5">
      <c r="A18" s="9">
        <v>801</v>
      </c>
      <c r="B18" s="9">
        <v>80114</v>
      </c>
      <c r="C18" s="14"/>
      <c r="D18" s="22" t="s">
        <v>22</v>
      </c>
      <c r="E18" s="23">
        <f>SUM(E19:E35)</f>
        <v>267987</v>
      </c>
      <c r="F18" s="19">
        <f>SUM(F19:F35)</f>
        <v>258788</v>
      </c>
      <c r="G18" s="19">
        <f>SUM(G19:G35)</f>
        <v>247218.42</v>
      </c>
      <c r="H18" s="12">
        <f t="shared" si="0"/>
        <v>95.52932129774179</v>
      </c>
    </row>
    <row r="19" spans="1:8" ht="12.75">
      <c r="A19" s="24"/>
      <c r="B19" s="14"/>
      <c r="C19" s="14">
        <v>4010</v>
      </c>
      <c r="D19" s="15" t="s">
        <v>14</v>
      </c>
      <c r="E19" s="16">
        <v>159390</v>
      </c>
      <c r="F19" s="25">
        <v>157550</v>
      </c>
      <c r="G19" s="16">
        <v>150913.42</v>
      </c>
      <c r="H19" s="17">
        <f t="shared" si="0"/>
        <v>95.7876356712155</v>
      </c>
    </row>
    <row r="20" spans="1:8" ht="12.75">
      <c r="A20" s="24"/>
      <c r="B20" s="14"/>
      <c r="C20" s="14">
        <v>4040</v>
      </c>
      <c r="D20" s="15" t="s">
        <v>15</v>
      </c>
      <c r="E20" s="16">
        <v>12686</v>
      </c>
      <c r="F20" s="25">
        <v>11307</v>
      </c>
      <c r="G20" s="16">
        <v>11306.92</v>
      </c>
      <c r="H20" s="17">
        <f t="shared" si="0"/>
        <v>99.99929247368885</v>
      </c>
    </row>
    <row r="21" spans="1:8" ht="12.75">
      <c r="A21" s="24"/>
      <c r="B21" s="14"/>
      <c r="C21" s="14">
        <v>4110</v>
      </c>
      <c r="D21" s="15" t="s">
        <v>16</v>
      </c>
      <c r="E21" s="16">
        <v>27412</v>
      </c>
      <c r="F21" s="25">
        <v>27601</v>
      </c>
      <c r="G21" s="16">
        <v>24191.91</v>
      </c>
      <c r="H21" s="17">
        <f t="shared" si="0"/>
        <v>87.6486721495598</v>
      </c>
    </row>
    <row r="22" spans="1:8" ht="12.75">
      <c r="A22" s="24"/>
      <c r="B22" s="14"/>
      <c r="C22" s="14">
        <v>4120</v>
      </c>
      <c r="D22" s="15" t="s">
        <v>17</v>
      </c>
      <c r="E22" s="16">
        <v>4216</v>
      </c>
      <c r="F22" s="25">
        <v>4246</v>
      </c>
      <c r="G22" s="16">
        <v>3643.13</v>
      </c>
      <c r="H22" s="17">
        <f t="shared" si="0"/>
        <v>85.80146019783325</v>
      </c>
    </row>
    <row r="23" spans="1:8" ht="12.75">
      <c r="A23" s="24"/>
      <c r="B23" s="14"/>
      <c r="C23" s="14">
        <v>4170</v>
      </c>
      <c r="D23" s="15" t="s">
        <v>23</v>
      </c>
      <c r="E23" s="16">
        <v>6800</v>
      </c>
      <c r="F23" s="25">
        <v>5900</v>
      </c>
      <c r="G23" s="16">
        <v>5821</v>
      </c>
      <c r="H23" s="17">
        <f t="shared" si="0"/>
        <v>98.66101694915255</v>
      </c>
    </row>
    <row r="24" spans="1:8" ht="12.75">
      <c r="A24" s="24"/>
      <c r="B24" s="14"/>
      <c r="C24" s="14">
        <v>4210</v>
      </c>
      <c r="D24" s="15" t="s">
        <v>18</v>
      </c>
      <c r="E24" s="16">
        <v>16000</v>
      </c>
      <c r="F24" s="25">
        <v>12842</v>
      </c>
      <c r="G24" s="16">
        <v>12601.84</v>
      </c>
      <c r="H24" s="17">
        <f t="shared" si="0"/>
        <v>98.12988631054354</v>
      </c>
    </row>
    <row r="25" spans="1:8" ht="12.75">
      <c r="A25" s="24"/>
      <c r="B25" s="14"/>
      <c r="C25" s="14">
        <v>4260</v>
      </c>
      <c r="D25" s="15" t="s">
        <v>24</v>
      </c>
      <c r="E25" s="16">
        <v>2600</v>
      </c>
      <c r="F25" s="25">
        <v>2450</v>
      </c>
      <c r="G25" s="16">
        <f>2418.46+20.28</f>
        <v>2438.7400000000002</v>
      </c>
      <c r="H25" s="17">
        <f t="shared" si="0"/>
        <v>99.54040816326531</v>
      </c>
    </row>
    <row r="26" spans="1:8" ht="12.75">
      <c r="A26" s="24"/>
      <c r="B26" s="14"/>
      <c r="C26" s="14">
        <v>4280</v>
      </c>
      <c r="D26" s="15" t="s">
        <v>25</v>
      </c>
      <c r="E26" s="16">
        <v>200</v>
      </c>
      <c r="F26" s="25">
        <v>450</v>
      </c>
      <c r="G26" s="16">
        <v>450</v>
      </c>
      <c r="H26" s="17">
        <f t="shared" si="0"/>
        <v>100</v>
      </c>
    </row>
    <row r="27" spans="1:8" ht="12.75">
      <c r="A27" s="24"/>
      <c r="B27" s="14"/>
      <c r="C27" s="14">
        <v>4300</v>
      </c>
      <c r="D27" s="15" t="s">
        <v>12</v>
      </c>
      <c r="E27" s="16">
        <v>9500</v>
      </c>
      <c r="F27" s="25">
        <v>8112</v>
      </c>
      <c r="G27" s="16">
        <v>7936.12</v>
      </c>
      <c r="H27" s="17">
        <f t="shared" si="0"/>
        <v>97.83185404339251</v>
      </c>
    </row>
    <row r="28" spans="1:8" ht="38.25">
      <c r="A28" s="24"/>
      <c r="B28" s="14"/>
      <c r="C28" s="14">
        <v>4370</v>
      </c>
      <c r="D28" s="20" t="s">
        <v>26</v>
      </c>
      <c r="E28" s="21">
        <v>3000</v>
      </c>
      <c r="F28" s="25">
        <v>2535</v>
      </c>
      <c r="G28" s="16">
        <v>2533.33</v>
      </c>
      <c r="H28" s="17">
        <f t="shared" si="0"/>
        <v>99.93412228796844</v>
      </c>
    </row>
    <row r="29" spans="1:8" ht="25.5">
      <c r="A29" s="24"/>
      <c r="B29" s="14"/>
      <c r="C29" s="14">
        <v>4400</v>
      </c>
      <c r="D29" s="20" t="s">
        <v>27</v>
      </c>
      <c r="E29" s="21">
        <v>13300</v>
      </c>
      <c r="F29" s="25">
        <v>13176</v>
      </c>
      <c r="G29" s="16">
        <v>13176</v>
      </c>
      <c r="H29" s="17">
        <f t="shared" si="0"/>
        <v>100</v>
      </c>
    </row>
    <row r="30" spans="1:8" ht="12.75">
      <c r="A30" s="24"/>
      <c r="B30" s="14"/>
      <c r="C30" s="14">
        <v>4410</v>
      </c>
      <c r="D30" s="15" t="s">
        <v>19</v>
      </c>
      <c r="E30" s="16">
        <v>500</v>
      </c>
      <c r="F30" s="25">
        <v>850</v>
      </c>
      <c r="G30" s="16">
        <v>725.94</v>
      </c>
      <c r="H30" s="17">
        <f t="shared" si="0"/>
        <v>85.40470588235294</v>
      </c>
    </row>
    <row r="31" spans="1:8" ht="12.75">
      <c r="A31" s="24"/>
      <c r="B31" s="14"/>
      <c r="C31" s="14">
        <v>4430</v>
      </c>
      <c r="D31" s="15" t="s">
        <v>28</v>
      </c>
      <c r="E31" s="16">
        <v>200</v>
      </c>
      <c r="F31" s="25">
        <v>152</v>
      </c>
      <c r="G31" s="16">
        <v>152</v>
      </c>
      <c r="H31" s="17">
        <f t="shared" si="0"/>
        <v>100</v>
      </c>
    </row>
    <row r="32" spans="1:8" ht="25.5">
      <c r="A32" s="24"/>
      <c r="B32" s="14"/>
      <c r="C32" s="14">
        <v>4440</v>
      </c>
      <c r="D32" s="20" t="s">
        <v>21</v>
      </c>
      <c r="E32" s="21">
        <v>5283</v>
      </c>
      <c r="F32" s="25">
        <v>5065</v>
      </c>
      <c r="G32" s="16">
        <v>5065</v>
      </c>
      <c r="H32" s="17">
        <f t="shared" si="0"/>
        <v>100</v>
      </c>
    </row>
    <row r="33" spans="1:8" ht="25.5">
      <c r="A33" s="24"/>
      <c r="B33" s="14"/>
      <c r="C33" s="14">
        <v>4700</v>
      </c>
      <c r="D33" s="20" t="s">
        <v>29</v>
      </c>
      <c r="E33" s="21">
        <v>2000</v>
      </c>
      <c r="F33" s="25">
        <v>3000</v>
      </c>
      <c r="G33" s="16">
        <v>2711.56</v>
      </c>
      <c r="H33" s="17">
        <f t="shared" si="0"/>
        <v>90.38533333333334</v>
      </c>
    </row>
    <row r="34" spans="1:8" ht="38.25">
      <c r="A34" s="24"/>
      <c r="B34" s="14"/>
      <c r="C34" s="14">
        <v>4740</v>
      </c>
      <c r="D34" s="20" t="s">
        <v>30</v>
      </c>
      <c r="E34" s="21">
        <v>700</v>
      </c>
      <c r="F34" s="25">
        <v>450</v>
      </c>
      <c r="G34" s="16">
        <f>210+240</f>
        <v>450</v>
      </c>
      <c r="H34" s="17">
        <f t="shared" si="0"/>
        <v>100</v>
      </c>
    </row>
    <row r="35" spans="1:8" ht="25.5">
      <c r="A35" s="24"/>
      <c r="B35" s="14"/>
      <c r="C35" s="14">
        <v>4750</v>
      </c>
      <c r="D35" s="20" t="s">
        <v>31</v>
      </c>
      <c r="E35" s="21">
        <v>4200</v>
      </c>
      <c r="F35" s="25">
        <v>3102</v>
      </c>
      <c r="G35" s="16">
        <v>3101.51</v>
      </c>
      <c r="H35" s="17">
        <f t="shared" si="0"/>
        <v>99.9842037395229</v>
      </c>
    </row>
    <row r="36" spans="1:8" ht="12.75">
      <c r="A36" s="8">
        <v>801</v>
      </c>
      <c r="B36" s="9">
        <v>80195</v>
      </c>
      <c r="C36" s="14"/>
      <c r="D36" s="18" t="s">
        <v>32</v>
      </c>
      <c r="E36" s="11">
        <f>E37</f>
        <v>400</v>
      </c>
      <c r="F36" s="19">
        <f>F37</f>
        <v>400</v>
      </c>
      <c r="G36" s="19">
        <f>G37</f>
        <v>400</v>
      </c>
      <c r="H36" s="12">
        <f t="shared" si="0"/>
        <v>100</v>
      </c>
    </row>
    <row r="37" spans="1:8" ht="12.75">
      <c r="A37" s="8"/>
      <c r="B37" s="9"/>
      <c r="C37" s="14">
        <v>4170</v>
      </c>
      <c r="D37" s="15" t="s">
        <v>23</v>
      </c>
      <c r="E37" s="16">
        <v>400</v>
      </c>
      <c r="F37" s="25">
        <v>400</v>
      </c>
      <c r="G37" s="25">
        <v>400</v>
      </c>
      <c r="H37" s="17">
        <f t="shared" si="0"/>
        <v>100</v>
      </c>
    </row>
    <row r="38" spans="1:8" ht="12.75">
      <c r="A38" s="8"/>
      <c r="B38" s="14"/>
      <c r="C38" s="14"/>
      <c r="D38" s="18" t="s">
        <v>33</v>
      </c>
      <c r="E38" s="11">
        <f>E36+E18+E8+E5</f>
        <v>718460</v>
      </c>
      <c r="F38" s="11">
        <f>F36+F18+F8+F5</f>
        <v>749677</v>
      </c>
      <c r="G38" s="11">
        <f>G36+G18+G8+G5</f>
        <v>735516.5800000001</v>
      </c>
      <c r="H38" s="12">
        <f t="shared" si="0"/>
        <v>98.11113052688026</v>
      </c>
    </row>
    <row r="39" spans="1:8" ht="12.75">
      <c r="A39" s="8">
        <v>854</v>
      </c>
      <c r="B39" s="9">
        <v>85415</v>
      </c>
      <c r="C39" s="14"/>
      <c r="D39" s="18" t="s">
        <v>34</v>
      </c>
      <c r="E39" s="11">
        <f>E40</f>
        <v>0</v>
      </c>
      <c r="F39" s="19">
        <f>F40</f>
        <v>268625</v>
      </c>
      <c r="G39" s="19">
        <f>G40</f>
        <v>258306.98</v>
      </c>
      <c r="H39" s="12">
        <f t="shared" si="0"/>
        <v>96.15895020939973</v>
      </c>
    </row>
    <row r="40" spans="1:8" ht="12.75">
      <c r="A40" s="24"/>
      <c r="B40" s="14"/>
      <c r="C40" s="14">
        <v>3240</v>
      </c>
      <c r="D40" s="15" t="s">
        <v>35</v>
      </c>
      <c r="E40" s="16">
        <v>0</v>
      </c>
      <c r="F40" s="25">
        <f>260355+8270</f>
        <v>268625</v>
      </c>
      <c r="G40" s="16">
        <v>258306.98</v>
      </c>
      <c r="H40" s="17">
        <f t="shared" si="0"/>
        <v>96.15895020939973</v>
      </c>
    </row>
    <row r="41" spans="1:8" ht="12.75">
      <c r="A41" s="24"/>
      <c r="B41" s="14"/>
      <c r="C41" s="14"/>
      <c r="D41" s="18" t="s">
        <v>36</v>
      </c>
      <c r="E41" s="11">
        <f>E39</f>
        <v>0</v>
      </c>
      <c r="F41" s="11">
        <f>F39</f>
        <v>268625</v>
      </c>
      <c r="G41" s="11">
        <f>G39</f>
        <v>258306.98</v>
      </c>
      <c r="H41" s="12">
        <f t="shared" si="0"/>
        <v>96.15895020939973</v>
      </c>
    </row>
    <row r="42" spans="1:8" ht="12.75">
      <c r="A42" s="24"/>
      <c r="B42" s="14"/>
      <c r="C42" s="14"/>
      <c r="D42" s="10" t="s">
        <v>37</v>
      </c>
      <c r="E42" s="11">
        <f>E41+E38</f>
        <v>718460</v>
      </c>
      <c r="F42" s="19">
        <f>F41+F38</f>
        <v>1018302</v>
      </c>
      <c r="G42" s="19">
        <f>G41+G38</f>
        <v>993823.56</v>
      </c>
      <c r="H42" s="12">
        <f t="shared" si="0"/>
        <v>97.59615124000543</v>
      </c>
    </row>
    <row r="43" spans="1:8" ht="12.75">
      <c r="A43" s="26"/>
      <c r="B43" s="26"/>
      <c r="C43" s="26"/>
      <c r="D43" s="26"/>
      <c r="E43" s="26"/>
      <c r="F43" s="26"/>
      <c r="G43" s="26"/>
      <c r="H43" s="26"/>
    </row>
    <row r="44" spans="1:8" ht="12.75">
      <c r="A44" s="26"/>
      <c r="B44" s="26"/>
      <c r="C44" s="26"/>
      <c r="D44" s="26"/>
      <c r="E44" s="26"/>
      <c r="F44" s="26"/>
      <c r="G44" s="26"/>
      <c r="H44" s="26"/>
    </row>
    <row r="45" spans="1:8" ht="12.75">
      <c r="A45" s="26"/>
      <c r="B45" s="26"/>
      <c r="C45" s="26"/>
      <c r="D45" s="26"/>
      <c r="E45" s="26"/>
      <c r="F45" s="26"/>
      <c r="G45" s="26"/>
      <c r="H45" s="26"/>
    </row>
    <row r="46" spans="1:8" ht="15">
      <c r="A46" s="124" t="s">
        <v>0</v>
      </c>
      <c r="B46" s="124"/>
      <c r="C46" s="124"/>
      <c r="D46" s="124"/>
      <c r="E46" s="124"/>
      <c r="F46" s="124"/>
      <c r="G46" s="124"/>
      <c r="H46" s="124"/>
    </row>
    <row r="47" spans="1:8" ht="15">
      <c r="A47" s="124" t="s">
        <v>38</v>
      </c>
      <c r="B47" s="124"/>
      <c r="C47" s="124"/>
      <c r="D47" s="124"/>
      <c r="E47" s="124"/>
      <c r="F47" s="124"/>
      <c r="G47" s="124"/>
      <c r="H47" s="27"/>
    </row>
    <row r="48" spans="1:8" ht="12.75">
      <c r="A48" s="26"/>
      <c r="B48" s="26"/>
      <c r="C48" s="26"/>
      <c r="D48" s="26"/>
      <c r="E48" s="26"/>
      <c r="F48" s="26"/>
      <c r="G48" s="26"/>
      <c r="H48" s="26"/>
    </row>
    <row r="49" spans="1:8" ht="25.5">
      <c r="A49" s="9" t="s">
        <v>2</v>
      </c>
      <c r="B49" s="9" t="s">
        <v>3</v>
      </c>
      <c r="C49" s="9" t="s">
        <v>4</v>
      </c>
      <c r="D49" s="9" t="s">
        <v>5</v>
      </c>
      <c r="E49" s="28" t="s">
        <v>6</v>
      </c>
      <c r="F49" s="28" t="s">
        <v>7</v>
      </c>
      <c r="G49" s="28" t="s">
        <v>8</v>
      </c>
      <c r="H49" s="29" t="s">
        <v>9</v>
      </c>
    </row>
    <row r="50" spans="1:8" ht="12.75">
      <c r="A50" s="8">
        <v>801</v>
      </c>
      <c r="B50" s="8">
        <v>80101</v>
      </c>
      <c r="C50" s="13"/>
      <c r="D50" s="18" t="s">
        <v>39</v>
      </c>
      <c r="E50" s="30">
        <f>SUM(E51:E69)</f>
        <v>1566196</v>
      </c>
      <c r="F50" s="31">
        <f>SUM(F51:F69)</f>
        <v>1822120.06</v>
      </c>
      <c r="G50" s="31">
        <f>SUM(G51:G69)</f>
        <v>1769124.8399999996</v>
      </c>
      <c r="H50" s="32">
        <f aca="true" t="shared" si="1" ref="H50:H81">(G50/F50)*100</f>
        <v>97.09156267123252</v>
      </c>
    </row>
    <row r="51" spans="1:8" ht="25.5">
      <c r="A51" s="8"/>
      <c r="B51" s="13"/>
      <c r="C51" s="13">
        <v>3020</v>
      </c>
      <c r="D51" s="20" t="s">
        <v>40</v>
      </c>
      <c r="E51" s="33">
        <v>77131</v>
      </c>
      <c r="F51" s="34">
        <v>85181</v>
      </c>
      <c r="G51" s="35">
        <v>82207.22</v>
      </c>
      <c r="H51" s="36">
        <f t="shared" si="1"/>
        <v>96.50886934879844</v>
      </c>
    </row>
    <row r="52" spans="1:8" ht="12.75">
      <c r="A52" s="8"/>
      <c r="B52" s="13"/>
      <c r="C52" s="13">
        <v>4010</v>
      </c>
      <c r="D52" s="15" t="s">
        <v>14</v>
      </c>
      <c r="E52" s="35">
        <v>908609</v>
      </c>
      <c r="F52" s="35">
        <v>984434</v>
      </c>
      <c r="G52" s="35">
        <v>950757.37</v>
      </c>
      <c r="H52" s="36">
        <f t="shared" si="1"/>
        <v>96.57908706932105</v>
      </c>
    </row>
    <row r="53" spans="1:8" ht="12.75">
      <c r="A53" s="8"/>
      <c r="B53" s="13"/>
      <c r="C53" s="13">
        <v>4040</v>
      </c>
      <c r="D53" s="15" t="s">
        <v>15</v>
      </c>
      <c r="E53" s="35">
        <v>76319</v>
      </c>
      <c r="F53" s="35">
        <v>75294</v>
      </c>
      <c r="G53" s="35">
        <f>75294</f>
        <v>75294</v>
      </c>
      <c r="H53" s="36">
        <f t="shared" si="1"/>
        <v>100</v>
      </c>
    </row>
    <row r="54" spans="1:8" ht="12.75">
      <c r="A54" s="8"/>
      <c r="B54" s="13"/>
      <c r="C54" s="13">
        <v>4110</v>
      </c>
      <c r="D54" s="15" t="s">
        <v>16</v>
      </c>
      <c r="E54" s="35">
        <v>160026</v>
      </c>
      <c r="F54" s="34">
        <v>167499.06</v>
      </c>
      <c r="G54" s="35">
        <v>154023.48</v>
      </c>
      <c r="H54" s="36">
        <f t="shared" si="1"/>
        <v>91.95483246294039</v>
      </c>
    </row>
    <row r="55" spans="1:8" ht="12.75">
      <c r="A55" s="8"/>
      <c r="B55" s="13"/>
      <c r="C55" s="13">
        <v>4120</v>
      </c>
      <c r="D55" s="15" t="s">
        <v>17</v>
      </c>
      <c r="E55" s="35">
        <v>25961</v>
      </c>
      <c r="F55" s="34">
        <v>26031</v>
      </c>
      <c r="G55" s="35">
        <v>24008.64</v>
      </c>
      <c r="H55" s="36">
        <f t="shared" si="1"/>
        <v>92.23095539933156</v>
      </c>
    </row>
    <row r="56" spans="1:8" ht="12.75">
      <c r="A56" s="8"/>
      <c r="B56" s="13"/>
      <c r="C56" s="13">
        <v>4170</v>
      </c>
      <c r="D56" s="15" t="s">
        <v>23</v>
      </c>
      <c r="E56" s="35">
        <v>4700</v>
      </c>
      <c r="F56" s="34">
        <v>5812</v>
      </c>
      <c r="G56" s="35">
        <v>5475</v>
      </c>
      <c r="H56" s="36">
        <f t="shared" si="1"/>
        <v>94.20165175498968</v>
      </c>
    </row>
    <row r="57" spans="1:8" ht="12.75">
      <c r="A57" s="8"/>
      <c r="B57" s="13"/>
      <c r="C57" s="13">
        <v>4210</v>
      </c>
      <c r="D57" s="15" t="s">
        <v>18</v>
      </c>
      <c r="E57" s="35">
        <v>19000</v>
      </c>
      <c r="F57" s="35">
        <v>29797</v>
      </c>
      <c r="G57" s="35">
        <v>29736.21</v>
      </c>
      <c r="H57" s="36">
        <f t="shared" si="1"/>
        <v>99.79598617310467</v>
      </c>
    </row>
    <row r="58" spans="1:8" ht="25.5">
      <c r="A58" s="8"/>
      <c r="B58" s="13"/>
      <c r="C58" s="13">
        <v>4240</v>
      </c>
      <c r="D58" s="20" t="s">
        <v>41</v>
      </c>
      <c r="E58" s="33">
        <v>1000</v>
      </c>
      <c r="F58" s="35">
        <v>1000</v>
      </c>
      <c r="G58" s="35">
        <v>1000</v>
      </c>
      <c r="H58" s="36">
        <f t="shared" si="1"/>
        <v>100</v>
      </c>
    </row>
    <row r="59" spans="1:8" ht="12.75">
      <c r="A59" s="8"/>
      <c r="B59" s="13"/>
      <c r="C59" s="13">
        <v>4260</v>
      </c>
      <c r="D59" s="15" t="s">
        <v>24</v>
      </c>
      <c r="E59" s="35">
        <v>46000</v>
      </c>
      <c r="F59" s="34">
        <v>40292</v>
      </c>
      <c r="G59" s="35">
        <v>40278.43</v>
      </c>
      <c r="H59" s="36">
        <f t="shared" si="1"/>
        <v>99.96632085773851</v>
      </c>
    </row>
    <row r="60" spans="1:8" ht="12.75">
      <c r="A60" s="8"/>
      <c r="B60" s="13"/>
      <c r="C60" s="13">
        <v>4270</v>
      </c>
      <c r="D60" s="15" t="s">
        <v>42</v>
      </c>
      <c r="E60" s="35">
        <v>10000</v>
      </c>
      <c r="F60" s="34">
        <v>103000</v>
      </c>
      <c r="G60" s="35">
        <v>103000</v>
      </c>
      <c r="H60" s="36">
        <f t="shared" si="1"/>
        <v>100</v>
      </c>
    </row>
    <row r="61" spans="1:8" ht="12.75">
      <c r="A61" s="8"/>
      <c r="B61" s="13"/>
      <c r="C61" s="13">
        <v>4280</v>
      </c>
      <c r="D61" s="15" t="s">
        <v>25</v>
      </c>
      <c r="E61" s="35">
        <v>2500</v>
      </c>
      <c r="F61" s="34">
        <v>3690</v>
      </c>
      <c r="G61" s="35">
        <f>3690</f>
        <v>3690</v>
      </c>
      <c r="H61" s="36">
        <f t="shared" si="1"/>
        <v>100</v>
      </c>
    </row>
    <row r="62" spans="1:8" ht="12.75">
      <c r="A62" s="8"/>
      <c r="B62" s="13"/>
      <c r="C62" s="13">
        <v>4300</v>
      </c>
      <c r="D62" s="15" t="s">
        <v>12</v>
      </c>
      <c r="E62" s="35">
        <v>167300</v>
      </c>
      <c r="F62" s="34">
        <v>230709</v>
      </c>
      <c r="G62" s="35">
        <v>230697.51</v>
      </c>
      <c r="H62" s="36">
        <f t="shared" si="1"/>
        <v>99.99501970014174</v>
      </c>
    </row>
    <row r="63" spans="1:8" ht="12.75">
      <c r="A63" s="8"/>
      <c r="B63" s="13"/>
      <c r="C63" s="13">
        <v>4350</v>
      </c>
      <c r="D63" s="15" t="s">
        <v>43</v>
      </c>
      <c r="E63" s="35">
        <v>1900</v>
      </c>
      <c r="F63" s="34">
        <v>2350</v>
      </c>
      <c r="G63" s="35">
        <v>2342.13</v>
      </c>
      <c r="H63" s="36">
        <f t="shared" si="1"/>
        <v>99.66510638297873</v>
      </c>
    </row>
    <row r="64" spans="1:8" ht="38.25">
      <c r="A64" s="8"/>
      <c r="B64" s="13"/>
      <c r="C64" s="13">
        <v>4370</v>
      </c>
      <c r="D64" s="37" t="s">
        <v>44</v>
      </c>
      <c r="E64" s="33">
        <v>2600</v>
      </c>
      <c r="F64" s="34">
        <v>2150</v>
      </c>
      <c r="G64" s="35">
        <v>1778.04</v>
      </c>
      <c r="H64" s="36">
        <f t="shared" si="1"/>
        <v>82.69953488372093</v>
      </c>
    </row>
    <row r="65" spans="1:8" ht="12.75">
      <c r="A65" s="8"/>
      <c r="B65" s="13"/>
      <c r="C65" s="13">
        <v>4410</v>
      </c>
      <c r="D65" s="15" t="s">
        <v>19</v>
      </c>
      <c r="E65" s="35">
        <v>2000</v>
      </c>
      <c r="F65" s="34">
        <v>2000</v>
      </c>
      <c r="G65" s="35">
        <f>1955.83</f>
        <v>1955.83</v>
      </c>
      <c r="H65" s="36">
        <f t="shared" si="1"/>
        <v>97.7915</v>
      </c>
    </row>
    <row r="66" spans="1:8" ht="12.75">
      <c r="A66" s="8"/>
      <c r="B66" s="13"/>
      <c r="C66" s="13">
        <v>4430</v>
      </c>
      <c r="D66" s="15" t="s">
        <v>28</v>
      </c>
      <c r="E66" s="35">
        <v>2300</v>
      </c>
      <c r="F66" s="34">
        <v>2300</v>
      </c>
      <c r="G66" s="35">
        <f>2300</f>
        <v>2300</v>
      </c>
      <c r="H66" s="36">
        <f t="shared" si="1"/>
        <v>100</v>
      </c>
    </row>
    <row r="67" spans="1:8" ht="25.5">
      <c r="A67" s="8"/>
      <c r="B67" s="13"/>
      <c r="C67" s="13">
        <v>4440</v>
      </c>
      <c r="D67" s="20" t="s">
        <v>21</v>
      </c>
      <c r="E67" s="33">
        <v>56850</v>
      </c>
      <c r="F67" s="35">
        <v>59181</v>
      </c>
      <c r="G67" s="35">
        <f>59181</f>
        <v>59181</v>
      </c>
      <c r="H67" s="36">
        <f t="shared" si="1"/>
        <v>100</v>
      </c>
    </row>
    <row r="68" spans="1:8" ht="38.25">
      <c r="A68" s="8"/>
      <c r="B68" s="13"/>
      <c r="C68" s="13">
        <v>4740</v>
      </c>
      <c r="D68" s="38" t="s">
        <v>30</v>
      </c>
      <c r="E68" s="39">
        <v>1000</v>
      </c>
      <c r="F68" s="35">
        <v>400</v>
      </c>
      <c r="G68" s="35">
        <v>400</v>
      </c>
      <c r="H68" s="36">
        <f t="shared" si="1"/>
        <v>100</v>
      </c>
    </row>
    <row r="69" spans="1:8" ht="25.5">
      <c r="A69" s="8"/>
      <c r="B69" s="13"/>
      <c r="C69" s="13">
        <v>4750</v>
      </c>
      <c r="D69" s="20" t="s">
        <v>31</v>
      </c>
      <c r="E69" s="33">
        <v>1000</v>
      </c>
      <c r="F69" s="35">
        <v>1000</v>
      </c>
      <c r="G69" s="35">
        <v>999.98</v>
      </c>
      <c r="H69" s="36">
        <f t="shared" si="1"/>
        <v>99.998</v>
      </c>
    </row>
    <row r="70" spans="1:8" ht="25.5">
      <c r="A70" s="8">
        <v>801</v>
      </c>
      <c r="B70" s="8">
        <v>80103</v>
      </c>
      <c r="C70" s="13"/>
      <c r="D70" s="22" t="s">
        <v>45</v>
      </c>
      <c r="E70" s="40">
        <f>SUM(E71:E79)</f>
        <v>160594</v>
      </c>
      <c r="F70" s="31">
        <f>SUM(F71:F79)</f>
        <v>179597</v>
      </c>
      <c r="G70" s="31">
        <f>SUM(G71:G79)</f>
        <v>174013.59000000003</v>
      </c>
      <c r="H70" s="32">
        <f t="shared" si="1"/>
        <v>96.89114517503079</v>
      </c>
    </row>
    <row r="71" spans="1:8" ht="25.5">
      <c r="A71" s="8"/>
      <c r="B71" s="13"/>
      <c r="C71" s="13">
        <v>3020</v>
      </c>
      <c r="D71" s="20" t="s">
        <v>40</v>
      </c>
      <c r="E71" s="33">
        <v>14110</v>
      </c>
      <c r="F71" s="35">
        <v>14260</v>
      </c>
      <c r="G71" s="35">
        <v>13893.73</v>
      </c>
      <c r="H71" s="36">
        <f t="shared" si="1"/>
        <v>97.43148667601683</v>
      </c>
    </row>
    <row r="72" spans="1:8" ht="12.75">
      <c r="A72" s="8"/>
      <c r="B72" s="13"/>
      <c r="C72" s="13">
        <v>4010</v>
      </c>
      <c r="D72" s="15" t="s">
        <v>14</v>
      </c>
      <c r="E72" s="35">
        <v>101897</v>
      </c>
      <c r="F72" s="35">
        <v>120017</v>
      </c>
      <c r="G72" s="35">
        <v>116224.63</v>
      </c>
      <c r="H72" s="36">
        <f t="shared" si="1"/>
        <v>96.84013931359723</v>
      </c>
    </row>
    <row r="73" spans="1:8" ht="12.75">
      <c r="A73" s="8"/>
      <c r="B73" s="13"/>
      <c r="C73" s="13">
        <v>4040</v>
      </c>
      <c r="D73" s="15" t="s">
        <v>15</v>
      </c>
      <c r="E73" s="35">
        <v>7166</v>
      </c>
      <c r="F73" s="35">
        <v>7022</v>
      </c>
      <c r="G73" s="35">
        <f>7021.81</f>
        <v>7021.81</v>
      </c>
      <c r="H73" s="36">
        <f t="shared" si="1"/>
        <v>99.99729421817146</v>
      </c>
    </row>
    <row r="74" spans="1:8" ht="12.75">
      <c r="A74" s="8"/>
      <c r="B74" s="13"/>
      <c r="C74" s="13">
        <v>4110</v>
      </c>
      <c r="D74" s="15" t="s">
        <v>16</v>
      </c>
      <c r="E74" s="35">
        <v>19302</v>
      </c>
      <c r="F74" s="35">
        <v>20862</v>
      </c>
      <c r="G74" s="35">
        <v>19726.4</v>
      </c>
      <c r="H74" s="36">
        <f t="shared" si="1"/>
        <v>94.55661010449622</v>
      </c>
    </row>
    <row r="75" spans="1:8" ht="12.75">
      <c r="A75" s="8"/>
      <c r="B75" s="13"/>
      <c r="C75" s="13">
        <v>4120</v>
      </c>
      <c r="D75" s="15" t="s">
        <v>17</v>
      </c>
      <c r="E75" s="35">
        <v>3132</v>
      </c>
      <c r="F75" s="35">
        <v>3381</v>
      </c>
      <c r="G75" s="35">
        <v>3095.89</v>
      </c>
      <c r="H75" s="36">
        <f t="shared" si="1"/>
        <v>91.56728778467908</v>
      </c>
    </row>
    <row r="76" spans="1:8" ht="25.5">
      <c r="A76" s="8"/>
      <c r="B76" s="13"/>
      <c r="C76" s="13">
        <v>4240</v>
      </c>
      <c r="D76" s="20" t="s">
        <v>41</v>
      </c>
      <c r="E76" s="33">
        <v>600</v>
      </c>
      <c r="F76" s="35">
        <v>600</v>
      </c>
      <c r="G76" s="35">
        <v>597.39</v>
      </c>
      <c r="H76" s="36">
        <f t="shared" si="1"/>
        <v>99.565</v>
      </c>
    </row>
    <row r="77" spans="1:8" ht="12.75">
      <c r="A77" s="8"/>
      <c r="B77" s="13"/>
      <c r="C77" s="13">
        <v>4260</v>
      </c>
      <c r="D77" s="15" t="s">
        <v>24</v>
      </c>
      <c r="E77" s="35">
        <v>3200</v>
      </c>
      <c r="F77" s="35">
        <v>2060</v>
      </c>
      <c r="G77" s="35">
        <v>2059.56</v>
      </c>
      <c r="H77" s="36">
        <f t="shared" si="1"/>
        <v>99.97864077669902</v>
      </c>
    </row>
    <row r="78" spans="1:8" ht="12.75">
      <c r="A78" s="8"/>
      <c r="B78" s="13"/>
      <c r="C78" s="13">
        <v>4300</v>
      </c>
      <c r="D78" s="15" t="s">
        <v>12</v>
      </c>
      <c r="E78" s="35">
        <v>4000</v>
      </c>
      <c r="F78" s="35">
        <v>3848</v>
      </c>
      <c r="G78" s="35">
        <v>3847.18</v>
      </c>
      <c r="H78" s="36">
        <f t="shared" si="1"/>
        <v>99.97869022869023</v>
      </c>
    </row>
    <row r="79" spans="1:8" ht="25.5">
      <c r="A79" s="8"/>
      <c r="B79" s="13"/>
      <c r="C79" s="13">
        <v>4440</v>
      </c>
      <c r="D79" s="20" t="s">
        <v>21</v>
      </c>
      <c r="E79" s="33">
        <v>7187</v>
      </c>
      <c r="F79" s="35">
        <v>7547</v>
      </c>
      <c r="G79" s="35">
        <f>7547</f>
        <v>7547</v>
      </c>
      <c r="H79" s="36">
        <f t="shared" si="1"/>
        <v>100</v>
      </c>
    </row>
    <row r="80" spans="1:8" ht="12.75">
      <c r="A80" s="8">
        <v>801</v>
      </c>
      <c r="B80" s="8">
        <v>80110</v>
      </c>
      <c r="C80" s="13"/>
      <c r="D80" s="18" t="s">
        <v>46</v>
      </c>
      <c r="E80" s="30">
        <f>SUM(E81:E90)</f>
        <v>1117872</v>
      </c>
      <c r="F80" s="31">
        <f>SUM(F81:F90)</f>
        <v>1130299</v>
      </c>
      <c r="G80" s="31">
        <f>SUM(G81:G90)</f>
        <v>1088948.1300000004</v>
      </c>
      <c r="H80" s="32">
        <f t="shared" si="1"/>
        <v>96.3415989928329</v>
      </c>
    </row>
    <row r="81" spans="1:8" ht="25.5">
      <c r="A81" s="8"/>
      <c r="B81" s="13"/>
      <c r="C81" s="13">
        <v>3020</v>
      </c>
      <c r="D81" s="20" t="s">
        <v>47</v>
      </c>
      <c r="E81" s="33">
        <v>86944</v>
      </c>
      <c r="F81" s="35">
        <v>90544</v>
      </c>
      <c r="G81" s="35">
        <v>88300.55</v>
      </c>
      <c r="H81" s="36">
        <f t="shared" si="1"/>
        <v>97.52225437356424</v>
      </c>
    </row>
    <row r="82" spans="1:8" ht="12.75">
      <c r="A82" s="8"/>
      <c r="B82" s="13"/>
      <c r="C82" s="13">
        <v>4010</v>
      </c>
      <c r="D82" s="15" t="s">
        <v>14</v>
      </c>
      <c r="E82" s="35">
        <v>757469</v>
      </c>
      <c r="F82" s="35">
        <f>778169-8270</f>
        <v>769899</v>
      </c>
      <c r="G82" s="35">
        <v>744047.38</v>
      </c>
      <c r="H82" s="36">
        <f aca="true" t="shared" si="2" ref="H82:H113">(G82/F82)*100</f>
        <v>96.64220631537384</v>
      </c>
    </row>
    <row r="83" spans="1:8" ht="12.75">
      <c r="A83" s="8"/>
      <c r="B83" s="13"/>
      <c r="C83" s="13">
        <v>4040</v>
      </c>
      <c r="D83" s="15" t="s">
        <v>15</v>
      </c>
      <c r="E83" s="35">
        <v>63021</v>
      </c>
      <c r="F83" s="35">
        <v>59808</v>
      </c>
      <c r="G83" s="35">
        <f>59807.05</f>
        <v>59807.05</v>
      </c>
      <c r="H83" s="36">
        <f t="shared" si="2"/>
        <v>99.99841158373462</v>
      </c>
    </row>
    <row r="84" spans="1:8" ht="12.75">
      <c r="A84" s="8"/>
      <c r="B84" s="13"/>
      <c r="C84" s="13">
        <v>4110</v>
      </c>
      <c r="D84" s="15" t="s">
        <v>16</v>
      </c>
      <c r="E84" s="35">
        <v>136660</v>
      </c>
      <c r="F84" s="35">
        <v>134360</v>
      </c>
      <c r="G84" s="35">
        <v>123749.93</v>
      </c>
      <c r="H84" s="36">
        <f t="shared" si="2"/>
        <v>92.10325245608811</v>
      </c>
    </row>
    <row r="85" spans="1:8" ht="12.75">
      <c r="A85" s="8"/>
      <c r="B85" s="13"/>
      <c r="C85" s="13">
        <v>4120</v>
      </c>
      <c r="D85" s="15" t="s">
        <v>17</v>
      </c>
      <c r="E85" s="35">
        <v>22173</v>
      </c>
      <c r="F85" s="35">
        <v>21678</v>
      </c>
      <c r="G85" s="35">
        <v>19284.92</v>
      </c>
      <c r="H85" s="36">
        <f t="shared" si="2"/>
        <v>88.96078974075098</v>
      </c>
    </row>
    <row r="86" spans="1:8" ht="12.75">
      <c r="A86" s="8"/>
      <c r="B86" s="13"/>
      <c r="C86" s="13">
        <v>4210</v>
      </c>
      <c r="D86" s="15" t="s">
        <v>18</v>
      </c>
      <c r="E86" s="35">
        <v>1500</v>
      </c>
      <c r="F86" s="35">
        <v>1500</v>
      </c>
      <c r="G86" s="35">
        <v>1465.56</v>
      </c>
      <c r="H86" s="36">
        <f t="shared" si="2"/>
        <v>97.704</v>
      </c>
    </row>
    <row r="87" spans="1:8" ht="25.5">
      <c r="A87" s="8"/>
      <c r="B87" s="13"/>
      <c r="C87" s="13">
        <v>4240</v>
      </c>
      <c r="D87" s="20" t="s">
        <v>41</v>
      </c>
      <c r="E87" s="33">
        <v>1000</v>
      </c>
      <c r="F87" s="35">
        <v>1000</v>
      </c>
      <c r="G87" s="35">
        <v>924</v>
      </c>
      <c r="H87" s="36">
        <f t="shared" si="2"/>
        <v>92.4</v>
      </c>
    </row>
    <row r="88" spans="1:8" ht="12.75">
      <c r="A88" s="8"/>
      <c r="B88" s="13"/>
      <c r="C88" s="13">
        <v>4410</v>
      </c>
      <c r="D88" s="15" t="s">
        <v>19</v>
      </c>
      <c r="E88" s="35">
        <v>500</v>
      </c>
      <c r="F88" s="35">
        <v>500</v>
      </c>
      <c r="G88" s="35">
        <f>358.74</f>
        <v>358.74</v>
      </c>
      <c r="H88" s="36">
        <f t="shared" si="2"/>
        <v>71.748</v>
      </c>
    </row>
    <row r="89" spans="1:8" ht="25.5">
      <c r="A89" s="8"/>
      <c r="B89" s="13"/>
      <c r="C89" s="13">
        <v>4440</v>
      </c>
      <c r="D89" s="20" t="s">
        <v>21</v>
      </c>
      <c r="E89" s="33">
        <v>48105</v>
      </c>
      <c r="F89" s="35">
        <v>50510</v>
      </c>
      <c r="G89" s="35">
        <f>50510</f>
        <v>50510</v>
      </c>
      <c r="H89" s="36">
        <f t="shared" si="2"/>
        <v>100</v>
      </c>
    </row>
    <row r="90" spans="1:8" ht="38.25">
      <c r="A90" s="8"/>
      <c r="B90" s="13"/>
      <c r="C90" s="13">
        <v>4740</v>
      </c>
      <c r="D90" s="20" t="s">
        <v>30</v>
      </c>
      <c r="E90" s="33">
        <v>500</v>
      </c>
      <c r="F90" s="35">
        <v>500</v>
      </c>
      <c r="G90" s="35">
        <v>500</v>
      </c>
      <c r="H90" s="36">
        <f t="shared" si="2"/>
        <v>100</v>
      </c>
    </row>
    <row r="91" spans="1:8" ht="12.75">
      <c r="A91" s="8">
        <v>801</v>
      </c>
      <c r="B91" s="8">
        <v>80120</v>
      </c>
      <c r="C91" s="13"/>
      <c r="D91" s="18" t="s">
        <v>48</v>
      </c>
      <c r="E91" s="30">
        <f>SUM(E92:E102)</f>
        <v>369860</v>
      </c>
      <c r="F91" s="31">
        <f>SUM(F92:F102)</f>
        <v>373188</v>
      </c>
      <c r="G91" s="31">
        <f>SUM(G92:G102)</f>
        <v>356694.33</v>
      </c>
      <c r="H91" s="32">
        <f t="shared" si="2"/>
        <v>95.58033216502139</v>
      </c>
    </row>
    <row r="92" spans="1:8" ht="25.5">
      <c r="A92" s="8"/>
      <c r="B92" s="13"/>
      <c r="C92" s="13">
        <v>3020</v>
      </c>
      <c r="D92" s="20" t="s">
        <v>40</v>
      </c>
      <c r="E92" s="33">
        <v>24199</v>
      </c>
      <c r="F92" s="34">
        <v>24199</v>
      </c>
      <c r="G92" s="35">
        <v>22911.65</v>
      </c>
      <c r="H92" s="36">
        <f t="shared" si="2"/>
        <v>94.6801520723997</v>
      </c>
    </row>
    <row r="93" spans="1:8" ht="12.75">
      <c r="A93" s="8"/>
      <c r="B93" s="13"/>
      <c r="C93" s="13">
        <v>3240</v>
      </c>
      <c r="D93" s="15" t="s">
        <v>35</v>
      </c>
      <c r="E93" s="35">
        <v>3600</v>
      </c>
      <c r="F93" s="34">
        <v>3600</v>
      </c>
      <c r="G93" s="35">
        <f>3060+500</f>
        <v>3560</v>
      </c>
      <c r="H93" s="36">
        <f t="shared" si="2"/>
        <v>98.88888888888889</v>
      </c>
    </row>
    <row r="94" spans="1:8" ht="12.75">
      <c r="A94" s="8"/>
      <c r="B94" s="13"/>
      <c r="C94" s="13">
        <v>4010</v>
      </c>
      <c r="D94" s="15" t="s">
        <v>14</v>
      </c>
      <c r="E94" s="35">
        <v>252527</v>
      </c>
      <c r="F94" s="34">
        <v>255902</v>
      </c>
      <c r="G94" s="35">
        <v>246194.63</v>
      </c>
      <c r="H94" s="36">
        <f t="shared" si="2"/>
        <v>96.20660643527602</v>
      </c>
    </row>
    <row r="95" spans="1:8" ht="12.75">
      <c r="A95" s="8"/>
      <c r="B95" s="13"/>
      <c r="C95" s="13">
        <v>4040</v>
      </c>
      <c r="D95" s="15" t="s">
        <v>15</v>
      </c>
      <c r="E95" s="35">
        <v>21705</v>
      </c>
      <c r="F95" s="34">
        <v>20680</v>
      </c>
      <c r="G95" s="35">
        <v>20679.82</v>
      </c>
      <c r="H95" s="36">
        <f t="shared" si="2"/>
        <v>99.99912959381044</v>
      </c>
    </row>
    <row r="96" spans="1:8" ht="12.75">
      <c r="A96" s="8"/>
      <c r="B96" s="13"/>
      <c r="C96" s="13">
        <v>4110</v>
      </c>
      <c r="D96" s="15" t="s">
        <v>16</v>
      </c>
      <c r="E96" s="35">
        <v>44621</v>
      </c>
      <c r="F96" s="34">
        <v>45261</v>
      </c>
      <c r="G96" s="35">
        <v>41026.14</v>
      </c>
      <c r="H96" s="36">
        <f t="shared" si="2"/>
        <v>90.64346788625969</v>
      </c>
    </row>
    <row r="97" spans="1:8" ht="12.75">
      <c r="A97" s="8"/>
      <c r="B97" s="13"/>
      <c r="C97" s="13">
        <v>4120</v>
      </c>
      <c r="D97" s="15" t="s">
        <v>17</v>
      </c>
      <c r="E97" s="35">
        <v>7240</v>
      </c>
      <c r="F97" s="34">
        <v>6505</v>
      </c>
      <c r="G97" s="35">
        <v>5689.85</v>
      </c>
      <c r="H97" s="36">
        <f t="shared" si="2"/>
        <v>87.46887009992315</v>
      </c>
    </row>
    <row r="98" spans="1:8" ht="12.75">
      <c r="A98" s="8"/>
      <c r="B98" s="13"/>
      <c r="C98" s="13">
        <v>4210</v>
      </c>
      <c r="D98" s="15" t="s">
        <v>18</v>
      </c>
      <c r="E98" s="35">
        <v>1000</v>
      </c>
      <c r="F98" s="34">
        <v>1000</v>
      </c>
      <c r="G98" s="35">
        <v>1000</v>
      </c>
      <c r="H98" s="36">
        <f t="shared" si="2"/>
        <v>100</v>
      </c>
    </row>
    <row r="99" spans="1:8" ht="25.5">
      <c r="A99" s="8"/>
      <c r="B99" s="13"/>
      <c r="C99" s="13">
        <v>4240</v>
      </c>
      <c r="D99" s="20" t="s">
        <v>41</v>
      </c>
      <c r="E99" s="33">
        <v>1000</v>
      </c>
      <c r="F99" s="34">
        <v>1000</v>
      </c>
      <c r="G99" s="35">
        <f>1000</f>
        <v>1000</v>
      </c>
      <c r="H99" s="36">
        <f t="shared" si="2"/>
        <v>100</v>
      </c>
    </row>
    <row r="100" spans="1:8" ht="12.75">
      <c r="A100" s="8"/>
      <c r="B100" s="13"/>
      <c r="C100" s="13">
        <v>4410</v>
      </c>
      <c r="D100" s="15" t="s">
        <v>19</v>
      </c>
      <c r="E100" s="35">
        <v>500</v>
      </c>
      <c r="F100" s="34">
        <v>904</v>
      </c>
      <c r="G100" s="35">
        <f>495.24</f>
        <v>495.24</v>
      </c>
      <c r="H100" s="36">
        <f t="shared" si="2"/>
        <v>54.78318584070797</v>
      </c>
    </row>
    <row r="101" spans="1:8" ht="25.5">
      <c r="A101" s="8"/>
      <c r="B101" s="8"/>
      <c r="C101" s="13">
        <v>4440</v>
      </c>
      <c r="D101" s="20" t="s">
        <v>21</v>
      </c>
      <c r="E101" s="33">
        <v>13368</v>
      </c>
      <c r="F101" s="34">
        <v>14037</v>
      </c>
      <c r="G101" s="35">
        <f>14037</f>
        <v>14037</v>
      </c>
      <c r="H101" s="36">
        <f t="shared" si="2"/>
        <v>100</v>
      </c>
    </row>
    <row r="102" spans="1:8" ht="38.25">
      <c r="A102" s="8"/>
      <c r="B102" s="8"/>
      <c r="C102" s="13">
        <v>4740</v>
      </c>
      <c r="D102" s="20" t="s">
        <v>30</v>
      </c>
      <c r="E102" s="33">
        <v>100</v>
      </c>
      <c r="F102" s="34">
        <v>100</v>
      </c>
      <c r="G102" s="35">
        <v>100</v>
      </c>
      <c r="H102" s="36">
        <f t="shared" si="2"/>
        <v>100</v>
      </c>
    </row>
    <row r="103" spans="1:8" ht="25.5">
      <c r="A103" s="8">
        <v>801</v>
      </c>
      <c r="B103" s="8">
        <v>80146</v>
      </c>
      <c r="C103" s="13"/>
      <c r="D103" s="22" t="s">
        <v>49</v>
      </c>
      <c r="E103" s="40">
        <f>SUM(E104:E106)</f>
        <v>17900</v>
      </c>
      <c r="F103" s="31">
        <f>SUM(F104:F106)</f>
        <v>14600</v>
      </c>
      <c r="G103" s="31">
        <f>SUM(G104:G106)</f>
        <v>13365.429999999998</v>
      </c>
      <c r="H103" s="32">
        <f t="shared" si="2"/>
        <v>91.5440410958904</v>
      </c>
    </row>
    <row r="104" spans="1:8" ht="12.75">
      <c r="A104" s="8"/>
      <c r="B104" s="8"/>
      <c r="C104" s="13">
        <v>4210</v>
      </c>
      <c r="D104" s="15" t="s">
        <v>18</v>
      </c>
      <c r="E104" s="35">
        <v>5000</v>
      </c>
      <c r="F104" s="34">
        <v>5000</v>
      </c>
      <c r="G104" s="34">
        <f>3657.11+561.22</f>
        <v>4218.33</v>
      </c>
      <c r="H104" s="36">
        <f t="shared" si="2"/>
        <v>84.3666</v>
      </c>
    </row>
    <row r="105" spans="1:8" ht="12.75">
      <c r="A105" s="8"/>
      <c r="B105" s="13"/>
      <c r="C105" s="13">
        <v>4300</v>
      </c>
      <c r="D105" s="15" t="s">
        <v>12</v>
      </c>
      <c r="E105" s="35">
        <v>11000</v>
      </c>
      <c r="F105" s="34">
        <v>6680</v>
      </c>
      <c r="G105" s="34">
        <f>6547.79+130</f>
        <v>6677.79</v>
      </c>
      <c r="H105" s="36">
        <f t="shared" si="2"/>
        <v>99.96691616766466</v>
      </c>
    </row>
    <row r="106" spans="1:8" ht="12.75">
      <c r="A106" s="8"/>
      <c r="B106" s="13"/>
      <c r="C106" s="13">
        <v>4410</v>
      </c>
      <c r="D106" s="15" t="s">
        <v>19</v>
      </c>
      <c r="E106" s="35">
        <v>1900</v>
      </c>
      <c r="F106" s="34">
        <v>2920</v>
      </c>
      <c r="G106" s="34">
        <f>2322.21+147.1</f>
        <v>2469.31</v>
      </c>
      <c r="H106" s="36">
        <f t="shared" si="2"/>
        <v>84.56541095890411</v>
      </c>
    </row>
    <row r="107" spans="1:8" ht="12.75">
      <c r="A107" s="8">
        <v>801</v>
      </c>
      <c r="B107" s="8">
        <v>80148</v>
      </c>
      <c r="C107" s="8"/>
      <c r="D107" s="18" t="s">
        <v>50</v>
      </c>
      <c r="E107" s="30">
        <f>SUM(E108:E114)</f>
        <v>108415</v>
      </c>
      <c r="F107" s="31">
        <f>SUM(F108:F114)</f>
        <v>97065</v>
      </c>
      <c r="G107" s="31">
        <f>SUM(G108:G114)</f>
        <v>92279.34</v>
      </c>
      <c r="H107" s="32">
        <f t="shared" si="2"/>
        <v>95.06963375057951</v>
      </c>
    </row>
    <row r="108" spans="1:8" ht="25.5">
      <c r="A108" s="8"/>
      <c r="B108" s="13"/>
      <c r="C108" s="13">
        <v>3020</v>
      </c>
      <c r="D108" s="20" t="s">
        <v>40</v>
      </c>
      <c r="E108" s="33">
        <v>3100</v>
      </c>
      <c r="F108" s="34">
        <v>3100</v>
      </c>
      <c r="G108" s="35">
        <f>2071</f>
        <v>2071</v>
      </c>
      <c r="H108" s="36">
        <f t="shared" si="2"/>
        <v>66.80645161290323</v>
      </c>
    </row>
    <row r="109" spans="1:8" ht="12.75">
      <c r="A109" s="8"/>
      <c r="B109" s="13"/>
      <c r="C109" s="13">
        <v>4010</v>
      </c>
      <c r="D109" s="15" t="s">
        <v>14</v>
      </c>
      <c r="E109" s="35">
        <v>75742</v>
      </c>
      <c r="F109" s="34">
        <v>69982</v>
      </c>
      <c r="G109" s="35">
        <v>67605.47</v>
      </c>
      <c r="H109" s="36">
        <f t="shared" si="2"/>
        <v>96.60408390729044</v>
      </c>
    </row>
    <row r="110" spans="1:8" ht="12.75">
      <c r="A110" s="8"/>
      <c r="B110" s="41"/>
      <c r="C110" s="42">
        <v>4040</v>
      </c>
      <c r="D110" s="43" t="s">
        <v>15</v>
      </c>
      <c r="E110" s="35">
        <v>6681</v>
      </c>
      <c r="F110" s="44">
        <v>5538</v>
      </c>
      <c r="G110" s="35">
        <f>5537.91</f>
        <v>5537.91</v>
      </c>
      <c r="H110" s="36">
        <f t="shared" si="2"/>
        <v>99.99837486457204</v>
      </c>
    </row>
    <row r="111" spans="1:8" ht="12.75">
      <c r="A111" s="8"/>
      <c r="B111" s="41"/>
      <c r="C111" s="42">
        <v>4110</v>
      </c>
      <c r="D111" s="43" t="s">
        <v>16</v>
      </c>
      <c r="E111" s="35">
        <v>11437</v>
      </c>
      <c r="F111" s="44">
        <v>10022</v>
      </c>
      <c r="G111" s="35">
        <v>8945.01</v>
      </c>
      <c r="H111" s="36">
        <f t="shared" si="2"/>
        <v>89.25374176811016</v>
      </c>
    </row>
    <row r="112" spans="1:8" ht="12.75">
      <c r="A112" s="8"/>
      <c r="B112" s="41"/>
      <c r="C112" s="42">
        <v>4120</v>
      </c>
      <c r="D112" s="43" t="s">
        <v>17</v>
      </c>
      <c r="E112" s="35">
        <v>1855</v>
      </c>
      <c r="F112" s="44">
        <v>1785</v>
      </c>
      <c r="G112" s="35">
        <v>1481.95</v>
      </c>
      <c r="H112" s="36">
        <f t="shared" si="2"/>
        <v>83.02240896358543</v>
      </c>
    </row>
    <row r="113" spans="1:8" ht="12.75">
      <c r="A113" s="8"/>
      <c r="B113" s="41"/>
      <c r="C113" s="42">
        <v>4170</v>
      </c>
      <c r="D113" s="43" t="s">
        <v>23</v>
      </c>
      <c r="E113" s="35">
        <v>3000</v>
      </c>
      <c r="F113" s="44">
        <v>350</v>
      </c>
      <c r="G113" s="35">
        <f>350</f>
        <v>350</v>
      </c>
      <c r="H113" s="36">
        <f t="shared" si="2"/>
        <v>100</v>
      </c>
    </row>
    <row r="114" spans="1:8" ht="25.5">
      <c r="A114" s="8"/>
      <c r="B114" s="45"/>
      <c r="C114" s="46">
        <v>4440</v>
      </c>
      <c r="D114" s="47" t="s">
        <v>21</v>
      </c>
      <c r="E114" s="33">
        <v>6600</v>
      </c>
      <c r="F114" s="48">
        <v>6288</v>
      </c>
      <c r="G114" s="35">
        <f>6288</f>
        <v>6288</v>
      </c>
      <c r="H114" s="36">
        <f aca="true" t="shared" si="3" ref="H114:H145">(G114/F114)*100</f>
        <v>100</v>
      </c>
    </row>
    <row r="115" spans="1:8" ht="12.75">
      <c r="A115" s="8">
        <v>801</v>
      </c>
      <c r="B115" s="8">
        <v>80195</v>
      </c>
      <c r="C115" s="13"/>
      <c r="D115" s="18" t="s">
        <v>32</v>
      </c>
      <c r="E115" s="30">
        <f>SUM(E116:E134)</f>
        <v>40404</v>
      </c>
      <c r="F115" s="31">
        <f>SUM(F116:F134)</f>
        <v>103667</v>
      </c>
      <c r="G115" s="31">
        <f>SUM(G116:G134)</f>
        <v>100904.49999999999</v>
      </c>
      <c r="H115" s="32">
        <f t="shared" si="3"/>
        <v>97.33521757164768</v>
      </c>
    </row>
    <row r="116" spans="1:8" ht="12.75">
      <c r="A116" s="8"/>
      <c r="B116" s="8"/>
      <c r="C116" s="13">
        <v>4117</v>
      </c>
      <c r="D116" s="43" t="s">
        <v>16</v>
      </c>
      <c r="E116" s="35">
        <v>0</v>
      </c>
      <c r="F116" s="34">
        <v>1210</v>
      </c>
      <c r="G116" s="34">
        <f>429.99+753.43</f>
        <v>1183.42</v>
      </c>
      <c r="H116" s="36">
        <f t="shared" si="3"/>
        <v>97.80330578512397</v>
      </c>
    </row>
    <row r="117" spans="1:8" ht="12.75">
      <c r="A117" s="8"/>
      <c r="B117" s="8"/>
      <c r="C117" s="13">
        <v>4119</v>
      </c>
      <c r="D117" s="43" t="s">
        <v>16</v>
      </c>
      <c r="E117" s="35">
        <v>0</v>
      </c>
      <c r="F117" s="34">
        <v>214</v>
      </c>
      <c r="G117" s="34">
        <f>75.88+132.96</f>
        <v>208.84</v>
      </c>
      <c r="H117" s="36">
        <f t="shared" si="3"/>
        <v>97.58878504672897</v>
      </c>
    </row>
    <row r="118" spans="1:8" ht="12.75">
      <c r="A118" s="8"/>
      <c r="B118" s="8"/>
      <c r="C118" s="13">
        <v>4127</v>
      </c>
      <c r="D118" s="43" t="s">
        <v>17</v>
      </c>
      <c r="E118" s="35">
        <v>0</v>
      </c>
      <c r="F118" s="34">
        <v>195</v>
      </c>
      <c r="G118" s="34">
        <f>69.75+122.26</f>
        <v>192.01</v>
      </c>
      <c r="H118" s="36">
        <f t="shared" si="3"/>
        <v>98.46666666666665</v>
      </c>
    </row>
    <row r="119" spans="1:8" ht="12.75">
      <c r="A119" s="8"/>
      <c r="B119" s="8"/>
      <c r="C119" s="13">
        <v>4129</v>
      </c>
      <c r="D119" s="43" t="s">
        <v>17</v>
      </c>
      <c r="E119" s="35">
        <v>0</v>
      </c>
      <c r="F119" s="34">
        <v>34</v>
      </c>
      <c r="G119" s="34">
        <f>12.31+21.57</f>
        <v>33.88</v>
      </c>
      <c r="H119" s="36">
        <f t="shared" si="3"/>
        <v>99.64705882352942</v>
      </c>
    </row>
    <row r="120" spans="1:8" ht="12.75">
      <c r="A120" s="8"/>
      <c r="B120" s="8"/>
      <c r="C120" s="13">
        <v>4177</v>
      </c>
      <c r="D120" s="15" t="s">
        <v>23</v>
      </c>
      <c r="E120" s="35">
        <v>0</v>
      </c>
      <c r="F120" s="34">
        <v>7945</v>
      </c>
      <c r="G120" s="34">
        <f>2847.5+3630.5+1072+287</f>
        <v>7837</v>
      </c>
      <c r="H120" s="36">
        <f t="shared" si="3"/>
        <v>98.64065449968533</v>
      </c>
    </row>
    <row r="121" spans="1:8" ht="12.75">
      <c r="A121" s="8"/>
      <c r="B121" s="8"/>
      <c r="C121" s="13">
        <v>4179</v>
      </c>
      <c r="D121" s="15" t="s">
        <v>23</v>
      </c>
      <c r="E121" s="35">
        <v>0</v>
      </c>
      <c r="F121" s="34">
        <v>1402</v>
      </c>
      <c r="G121" s="34">
        <f>502.5+640.83+188.67+51</f>
        <v>1383</v>
      </c>
      <c r="H121" s="36">
        <f t="shared" si="3"/>
        <v>98.64479315263908</v>
      </c>
    </row>
    <row r="122" spans="1:8" ht="12.75">
      <c r="A122" s="8"/>
      <c r="B122" s="8"/>
      <c r="C122" s="42">
        <v>4217</v>
      </c>
      <c r="D122" s="43" t="s">
        <v>18</v>
      </c>
      <c r="E122" s="35">
        <v>0</v>
      </c>
      <c r="F122" s="34">
        <v>2720</v>
      </c>
      <c r="G122" s="34">
        <v>2207.12</v>
      </c>
      <c r="H122" s="36">
        <f t="shared" si="3"/>
        <v>81.14411764705882</v>
      </c>
    </row>
    <row r="123" spans="1:8" ht="12.75">
      <c r="A123" s="8"/>
      <c r="B123" s="8"/>
      <c r="C123" s="42">
        <v>4219</v>
      </c>
      <c r="D123" s="43" t="s">
        <v>18</v>
      </c>
      <c r="E123" s="35">
        <v>0</v>
      </c>
      <c r="F123" s="34">
        <v>480</v>
      </c>
      <c r="G123" s="34">
        <v>389.5</v>
      </c>
      <c r="H123" s="36">
        <f t="shared" si="3"/>
        <v>81.14583333333333</v>
      </c>
    </row>
    <row r="124" spans="1:8" ht="25.5">
      <c r="A124" s="8"/>
      <c r="B124" s="8"/>
      <c r="C124" s="13">
        <v>4247</v>
      </c>
      <c r="D124" s="20" t="s">
        <v>41</v>
      </c>
      <c r="E124" s="33">
        <v>0</v>
      </c>
      <c r="F124" s="34">
        <v>38080</v>
      </c>
      <c r="G124" s="34">
        <f>37136.35</f>
        <v>37136.35</v>
      </c>
      <c r="H124" s="36">
        <f t="shared" si="3"/>
        <v>97.5219275210084</v>
      </c>
    </row>
    <row r="125" spans="1:8" ht="25.5">
      <c r="A125" s="8"/>
      <c r="B125" s="8"/>
      <c r="C125" s="13">
        <v>4249</v>
      </c>
      <c r="D125" s="20" t="s">
        <v>41</v>
      </c>
      <c r="E125" s="33">
        <v>0</v>
      </c>
      <c r="F125" s="34">
        <v>6720</v>
      </c>
      <c r="G125" s="34">
        <f>6553.48</f>
        <v>6553.48</v>
      </c>
      <c r="H125" s="36">
        <f t="shared" si="3"/>
        <v>97.5220238095238</v>
      </c>
    </row>
    <row r="126" spans="1:8" ht="12.75">
      <c r="A126" s="8"/>
      <c r="B126" s="8"/>
      <c r="C126" s="13">
        <v>4307</v>
      </c>
      <c r="D126" s="15" t="s">
        <v>12</v>
      </c>
      <c r="E126" s="35">
        <v>0</v>
      </c>
      <c r="F126" s="34">
        <v>2890</v>
      </c>
      <c r="G126" s="34">
        <v>2720</v>
      </c>
      <c r="H126" s="36">
        <f t="shared" si="3"/>
        <v>94.11764705882352</v>
      </c>
    </row>
    <row r="127" spans="1:8" ht="12.75">
      <c r="A127" s="8"/>
      <c r="B127" s="8"/>
      <c r="C127" s="13">
        <v>4309</v>
      </c>
      <c r="D127" s="15" t="s">
        <v>12</v>
      </c>
      <c r="E127" s="35">
        <v>0</v>
      </c>
      <c r="F127" s="34">
        <v>510</v>
      </c>
      <c r="G127" s="34">
        <v>480</v>
      </c>
      <c r="H127" s="36">
        <f t="shared" si="3"/>
        <v>94.11764705882352</v>
      </c>
    </row>
    <row r="128" spans="1:8" ht="12.75">
      <c r="A128" s="8"/>
      <c r="B128" s="8"/>
      <c r="C128" s="13">
        <v>4417</v>
      </c>
      <c r="D128" s="15" t="s">
        <v>19</v>
      </c>
      <c r="E128" s="35">
        <v>0</v>
      </c>
      <c r="F128" s="34">
        <v>255</v>
      </c>
      <c r="G128" s="34">
        <v>0</v>
      </c>
      <c r="H128" s="36">
        <f t="shared" si="3"/>
        <v>0</v>
      </c>
    </row>
    <row r="129" spans="1:8" ht="12.75">
      <c r="A129" s="8"/>
      <c r="B129" s="8"/>
      <c r="C129" s="13">
        <v>4419</v>
      </c>
      <c r="D129" s="15" t="s">
        <v>19</v>
      </c>
      <c r="E129" s="35">
        <v>0</v>
      </c>
      <c r="F129" s="34">
        <v>45</v>
      </c>
      <c r="G129" s="34">
        <v>0</v>
      </c>
      <c r="H129" s="36">
        <f t="shared" si="3"/>
        <v>0</v>
      </c>
    </row>
    <row r="130" spans="1:8" ht="12.75">
      <c r="A130" s="8"/>
      <c r="B130" s="8"/>
      <c r="C130" s="13">
        <v>4437</v>
      </c>
      <c r="D130" s="15" t="s">
        <v>28</v>
      </c>
      <c r="E130" s="35">
        <v>0</v>
      </c>
      <c r="F130" s="34">
        <v>51</v>
      </c>
      <c r="G130" s="34">
        <v>51</v>
      </c>
      <c r="H130" s="36">
        <f t="shared" si="3"/>
        <v>100</v>
      </c>
    </row>
    <row r="131" spans="1:8" ht="12.75">
      <c r="A131" s="8"/>
      <c r="B131" s="8"/>
      <c r="C131" s="13">
        <v>4439</v>
      </c>
      <c r="D131" s="15" t="s">
        <v>28</v>
      </c>
      <c r="E131" s="35">
        <v>0</v>
      </c>
      <c r="F131" s="34">
        <v>9</v>
      </c>
      <c r="G131" s="34">
        <v>9</v>
      </c>
      <c r="H131" s="36">
        <f t="shared" si="3"/>
        <v>100</v>
      </c>
    </row>
    <row r="132" spans="1:8" ht="25.5">
      <c r="A132" s="8"/>
      <c r="B132" s="8"/>
      <c r="C132" s="13">
        <v>4440</v>
      </c>
      <c r="D132" s="20" t="s">
        <v>21</v>
      </c>
      <c r="E132" s="33">
        <v>40404</v>
      </c>
      <c r="F132" s="34">
        <v>40207</v>
      </c>
      <c r="G132" s="34">
        <v>40207</v>
      </c>
      <c r="H132" s="36">
        <f t="shared" si="3"/>
        <v>100</v>
      </c>
    </row>
    <row r="133" spans="1:8" ht="38.25">
      <c r="A133" s="8"/>
      <c r="B133" s="8"/>
      <c r="C133" s="13">
        <v>4747</v>
      </c>
      <c r="D133" s="20" t="s">
        <v>30</v>
      </c>
      <c r="E133" s="33">
        <v>0</v>
      </c>
      <c r="F133" s="34">
        <v>595</v>
      </c>
      <c r="G133" s="34">
        <v>265.97</v>
      </c>
      <c r="H133" s="36">
        <f t="shared" si="3"/>
        <v>44.700840336134455</v>
      </c>
    </row>
    <row r="134" spans="1:8" ht="38.25">
      <c r="A134" s="8"/>
      <c r="B134" s="8"/>
      <c r="C134" s="13">
        <v>4749</v>
      </c>
      <c r="D134" s="20" t="s">
        <v>30</v>
      </c>
      <c r="E134" s="33">
        <v>0</v>
      </c>
      <c r="F134" s="34">
        <v>105</v>
      </c>
      <c r="G134" s="34">
        <v>46.93</v>
      </c>
      <c r="H134" s="36">
        <f t="shared" si="3"/>
        <v>44.695238095238096</v>
      </c>
    </row>
    <row r="135" spans="1:8" ht="13.5">
      <c r="A135" s="8"/>
      <c r="B135" s="49"/>
      <c r="C135" s="50"/>
      <c r="D135" s="18" t="s">
        <v>33</v>
      </c>
      <c r="E135" s="30">
        <f>E115+E107+E103+E91+E70+E80+E50</f>
        <v>3381241</v>
      </c>
      <c r="F135" s="31">
        <f>F115+F107+F103+F91+F80+F70+F50</f>
        <v>3720536.06</v>
      </c>
      <c r="G135" s="31">
        <f>G115+G107+G103+G91+G80+G70+G50</f>
        <v>3595330.16</v>
      </c>
      <c r="H135" s="32">
        <f t="shared" si="3"/>
        <v>96.634734941932</v>
      </c>
    </row>
    <row r="136" spans="1:8" ht="12.75">
      <c r="A136" s="8">
        <v>852</v>
      </c>
      <c r="B136" s="51">
        <v>85295</v>
      </c>
      <c r="C136" s="8"/>
      <c r="D136" s="22" t="s">
        <v>32</v>
      </c>
      <c r="E136" s="40">
        <f>SUM(E137:E142)</f>
        <v>20182</v>
      </c>
      <c r="F136" s="30">
        <f>SUM(F137:F142)</f>
        <v>26181.36</v>
      </c>
      <c r="G136" s="30">
        <f>SUM(G137:G142)</f>
        <v>26181.36</v>
      </c>
      <c r="H136" s="32">
        <f t="shared" si="3"/>
        <v>100</v>
      </c>
    </row>
    <row r="137" spans="1:8" ht="12.75">
      <c r="A137" s="8"/>
      <c r="B137" s="52">
        <v>85295</v>
      </c>
      <c r="C137" s="13">
        <v>4113</v>
      </c>
      <c r="D137" s="20" t="s">
        <v>51</v>
      </c>
      <c r="E137" s="33">
        <v>2265</v>
      </c>
      <c r="F137" s="35">
        <v>950</v>
      </c>
      <c r="G137" s="35">
        <f aca="true" t="shared" si="4" ref="G137:G142">F137</f>
        <v>950</v>
      </c>
      <c r="H137" s="36">
        <f t="shared" si="3"/>
        <v>100</v>
      </c>
    </row>
    <row r="138" spans="1:8" ht="12.75">
      <c r="A138" s="8"/>
      <c r="B138" s="52"/>
      <c r="C138" s="13">
        <v>4123</v>
      </c>
      <c r="D138" s="20" t="s">
        <v>52</v>
      </c>
      <c r="E138" s="33">
        <v>368</v>
      </c>
      <c r="F138" s="35">
        <v>243</v>
      </c>
      <c r="G138" s="35">
        <f t="shared" si="4"/>
        <v>243</v>
      </c>
      <c r="H138" s="36">
        <f t="shared" si="3"/>
        <v>100</v>
      </c>
    </row>
    <row r="139" spans="1:8" ht="12.75">
      <c r="A139" s="8"/>
      <c r="B139" s="52" t="s">
        <v>53</v>
      </c>
      <c r="C139" s="52">
        <v>4173</v>
      </c>
      <c r="D139" s="15" t="s">
        <v>54</v>
      </c>
      <c r="E139" s="35">
        <v>15000</v>
      </c>
      <c r="F139" s="35">
        <v>10960</v>
      </c>
      <c r="G139" s="35">
        <f t="shared" si="4"/>
        <v>10960</v>
      </c>
      <c r="H139" s="36">
        <f t="shared" si="3"/>
        <v>100</v>
      </c>
    </row>
    <row r="140" spans="1:8" ht="12.75">
      <c r="A140" s="8"/>
      <c r="B140" s="52"/>
      <c r="C140" s="52">
        <v>4213</v>
      </c>
      <c r="D140" s="15" t="s">
        <v>18</v>
      </c>
      <c r="E140" s="35">
        <v>0</v>
      </c>
      <c r="F140" s="35">
        <v>3642.36</v>
      </c>
      <c r="G140" s="35">
        <f t="shared" si="4"/>
        <v>3642.36</v>
      </c>
      <c r="H140" s="36">
        <f t="shared" si="3"/>
        <v>100</v>
      </c>
    </row>
    <row r="141" spans="1:8" ht="25.5">
      <c r="A141" s="8"/>
      <c r="B141" s="52"/>
      <c r="C141" s="52">
        <v>4243</v>
      </c>
      <c r="D141" s="20" t="s">
        <v>41</v>
      </c>
      <c r="E141" s="33">
        <v>2549</v>
      </c>
      <c r="F141" s="35">
        <v>6240</v>
      </c>
      <c r="G141" s="35">
        <f t="shared" si="4"/>
        <v>6240</v>
      </c>
      <c r="H141" s="36">
        <f t="shared" si="3"/>
        <v>100</v>
      </c>
    </row>
    <row r="142" spans="1:8" ht="12.75">
      <c r="A142" s="8"/>
      <c r="B142" s="52"/>
      <c r="C142" s="52">
        <v>4303</v>
      </c>
      <c r="D142" s="53" t="s">
        <v>55</v>
      </c>
      <c r="E142" s="34">
        <v>0</v>
      </c>
      <c r="F142" s="35">
        <v>4146</v>
      </c>
      <c r="G142" s="35">
        <f t="shared" si="4"/>
        <v>4146</v>
      </c>
      <c r="H142" s="36">
        <f t="shared" si="3"/>
        <v>100</v>
      </c>
    </row>
    <row r="143" spans="1:8" ht="12.75">
      <c r="A143" s="8"/>
      <c r="B143" s="13"/>
      <c r="C143" s="13"/>
      <c r="D143" s="18" t="s">
        <v>56</v>
      </c>
      <c r="E143" s="30">
        <f>E136</f>
        <v>20182</v>
      </c>
      <c r="F143" s="30">
        <f>F136</f>
        <v>26181.36</v>
      </c>
      <c r="G143" s="30">
        <f>G136</f>
        <v>26181.36</v>
      </c>
      <c r="H143" s="32">
        <f t="shared" si="3"/>
        <v>100</v>
      </c>
    </row>
    <row r="144" spans="1:8" ht="12.75">
      <c r="A144" s="8">
        <v>854</v>
      </c>
      <c r="B144" s="8">
        <v>85401</v>
      </c>
      <c r="C144" s="13"/>
      <c r="D144" s="18" t="s">
        <v>57</v>
      </c>
      <c r="E144" s="30">
        <f>SUM(E145:E152)</f>
        <v>103710</v>
      </c>
      <c r="F144" s="31">
        <f>SUM(F145:F152)</f>
        <v>100050</v>
      </c>
      <c r="G144" s="31">
        <f>SUM(G145:G152)</f>
        <v>96067.28</v>
      </c>
      <c r="H144" s="32">
        <f t="shared" si="3"/>
        <v>96.01927036481759</v>
      </c>
    </row>
    <row r="145" spans="1:8" ht="25.5">
      <c r="A145" s="8"/>
      <c r="B145" s="13"/>
      <c r="C145" s="13">
        <v>3020</v>
      </c>
      <c r="D145" s="20" t="s">
        <v>40</v>
      </c>
      <c r="E145" s="33">
        <v>8976</v>
      </c>
      <c r="F145" s="34">
        <v>8976</v>
      </c>
      <c r="G145" s="35">
        <v>8672.56</v>
      </c>
      <c r="H145" s="36">
        <f t="shared" si="3"/>
        <v>96.61942959001783</v>
      </c>
    </row>
    <row r="146" spans="1:8" ht="12.75">
      <c r="A146" s="8"/>
      <c r="B146" s="13"/>
      <c r="C146" s="13">
        <v>4010</v>
      </c>
      <c r="D146" s="15" t="s">
        <v>14</v>
      </c>
      <c r="E146" s="35">
        <v>68691</v>
      </c>
      <c r="F146" s="34">
        <v>66241</v>
      </c>
      <c r="G146" s="35">
        <v>64306.15</v>
      </c>
      <c r="H146" s="36">
        <f>(G146/F146)*100</f>
        <v>97.07907489319304</v>
      </c>
    </row>
    <row r="147" spans="1:8" ht="12.75">
      <c r="A147" s="8"/>
      <c r="B147" s="13"/>
      <c r="C147" s="13">
        <v>4040</v>
      </c>
      <c r="D147" s="15" t="s">
        <v>15</v>
      </c>
      <c r="E147" s="35">
        <v>5663</v>
      </c>
      <c r="F147" s="34">
        <v>5023</v>
      </c>
      <c r="G147" s="35">
        <f>5022.61</f>
        <v>5022.61</v>
      </c>
      <c r="H147" s="36">
        <f>(G147/F147)*100</f>
        <v>99.99223571570774</v>
      </c>
    </row>
    <row r="148" spans="1:8" ht="12.75">
      <c r="A148" s="8"/>
      <c r="B148" s="13"/>
      <c r="C148" s="13">
        <v>4110</v>
      </c>
      <c r="D148" s="15" t="s">
        <v>16</v>
      </c>
      <c r="E148" s="35">
        <v>12552</v>
      </c>
      <c r="F148" s="34">
        <v>12132</v>
      </c>
      <c r="G148" s="35">
        <v>10699.87</v>
      </c>
      <c r="H148" s="36">
        <f>(G148/F148)*100</f>
        <v>88.19543356412794</v>
      </c>
    </row>
    <row r="149" spans="1:8" ht="12.75">
      <c r="A149" s="8"/>
      <c r="B149" s="13"/>
      <c r="C149" s="13">
        <v>4120</v>
      </c>
      <c r="D149" s="15" t="s">
        <v>17</v>
      </c>
      <c r="E149" s="35">
        <v>2037</v>
      </c>
      <c r="F149" s="34">
        <v>1647</v>
      </c>
      <c r="G149" s="35">
        <v>1372.42</v>
      </c>
      <c r="H149" s="36">
        <f>(G149/F149)*100</f>
        <v>83.32847601700061</v>
      </c>
    </row>
    <row r="150" spans="1:8" ht="12.75">
      <c r="A150" s="8"/>
      <c r="B150" s="13"/>
      <c r="C150" s="13">
        <v>4210</v>
      </c>
      <c r="D150" s="15" t="s">
        <v>18</v>
      </c>
      <c r="E150" s="35">
        <v>500</v>
      </c>
      <c r="F150" s="34">
        <v>500</v>
      </c>
      <c r="G150" s="35">
        <v>462.67</v>
      </c>
      <c r="H150" s="36">
        <f>(G150/F150)*100</f>
        <v>92.534</v>
      </c>
    </row>
    <row r="151" spans="1:8" ht="25.5">
      <c r="A151" s="8"/>
      <c r="B151" s="13"/>
      <c r="C151" s="13">
        <v>4240</v>
      </c>
      <c r="D151" s="20" t="s">
        <v>41</v>
      </c>
      <c r="E151" s="33">
        <v>500</v>
      </c>
      <c r="F151" s="34">
        <v>500</v>
      </c>
      <c r="G151" s="35">
        <v>500</v>
      </c>
      <c r="H151" s="36">
        <f>(G151/F151)*100</f>
        <v>100</v>
      </c>
    </row>
    <row r="152" spans="1:8" ht="25.5">
      <c r="A152" s="8"/>
      <c r="B152" s="13"/>
      <c r="C152" s="13">
        <v>4440</v>
      </c>
      <c r="D152" s="20" t="s">
        <v>21</v>
      </c>
      <c r="E152" s="33">
        <v>4791</v>
      </c>
      <c r="F152" s="34">
        <v>5031</v>
      </c>
      <c r="G152" s="35">
        <f>5031</f>
        <v>5031</v>
      </c>
      <c r="H152" s="36">
        <f>(G152/F152)*100</f>
        <v>100</v>
      </c>
    </row>
    <row r="153" spans="1:8" ht="12.75">
      <c r="A153" s="8">
        <v>854</v>
      </c>
      <c r="B153" s="8">
        <v>85415</v>
      </c>
      <c r="C153" s="13"/>
      <c r="D153" s="18" t="s">
        <v>34</v>
      </c>
      <c r="E153" s="30">
        <f>E154</f>
        <v>0</v>
      </c>
      <c r="F153" s="31">
        <f>SUM(F154:F154)</f>
        <v>25227</v>
      </c>
      <c r="G153" s="31">
        <f>SUM(G154:G154)</f>
        <v>11675.14</v>
      </c>
      <c r="H153" s="32">
        <f>(G153/F153)*100</f>
        <v>46.28033456217545</v>
      </c>
    </row>
    <row r="154" spans="1:8" ht="12.75">
      <c r="A154" s="8"/>
      <c r="B154" s="13"/>
      <c r="C154" s="13">
        <v>3260</v>
      </c>
      <c r="D154" s="15" t="s">
        <v>58</v>
      </c>
      <c r="E154" s="35">
        <v>0</v>
      </c>
      <c r="F154" s="34">
        <v>25227</v>
      </c>
      <c r="G154" s="35">
        <f>11675.14</f>
        <v>11675.14</v>
      </c>
      <c r="H154" s="36">
        <f>(G154/F154)*100</f>
        <v>46.28033456217545</v>
      </c>
    </row>
    <row r="155" spans="1:8" ht="12.75">
      <c r="A155" s="8"/>
      <c r="B155" s="13"/>
      <c r="C155" s="13"/>
      <c r="D155" s="18" t="s">
        <v>36</v>
      </c>
      <c r="E155" s="30">
        <f>E153+E144</f>
        <v>103710</v>
      </c>
      <c r="F155" s="30">
        <f>F153+F144</f>
        <v>125277</v>
      </c>
      <c r="G155" s="30">
        <f>G153+G144</f>
        <v>107742.42</v>
      </c>
      <c r="H155" s="32">
        <f>(G155/F155)*100</f>
        <v>86.00335257070331</v>
      </c>
    </row>
    <row r="156" spans="1:8" ht="12.75">
      <c r="A156" s="8"/>
      <c r="B156" s="13"/>
      <c r="C156" s="13"/>
      <c r="D156" s="18" t="s">
        <v>37</v>
      </c>
      <c r="E156" s="30">
        <f>E155+E143+E135</f>
        <v>3505133</v>
      </c>
      <c r="F156" s="31">
        <f>F155+F143+F135</f>
        <v>3871994.42</v>
      </c>
      <c r="G156" s="31">
        <f>G155+G143+G135</f>
        <v>3729253.94</v>
      </c>
      <c r="H156" s="32">
        <f>(G156/F156)*100</f>
        <v>96.3135153485061</v>
      </c>
    </row>
    <row r="157" spans="1:8" ht="12.75">
      <c r="A157" s="26"/>
      <c r="B157" s="26"/>
      <c r="C157" s="26"/>
      <c r="D157" s="26"/>
      <c r="E157" s="26"/>
      <c r="F157" s="26"/>
      <c r="G157" s="26"/>
      <c r="H157" s="26"/>
    </row>
    <row r="158" spans="1:8" ht="12.75">
      <c r="A158" s="26"/>
      <c r="B158" s="26"/>
      <c r="C158" s="26"/>
      <c r="D158" s="26"/>
      <c r="E158" s="26"/>
      <c r="F158" s="26"/>
      <c r="G158" s="26"/>
      <c r="H158" s="26"/>
    </row>
    <row r="159" spans="1:8" ht="15">
      <c r="A159" s="124" t="s">
        <v>0</v>
      </c>
      <c r="B159" s="124"/>
      <c r="C159" s="124"/>
      <c r="D159" s="124"/>
      <c r="E159" s="124"/>
      <c r="F159" s="124"/>
      <c r="G159" s="124"/>
      <c r="H159" s="124"/>
    </row>
    <row r="160" spans="1:8" ht="15">
      <c r="A160" s="124" t="s">
        <v>59</v>
      </c>
      <c r="B160" s="124"/>
      <c r="C160" s="124"/>
      <c r="D160" s="124"/>
      <c r="E160" s="124"/>
      <c r="F160" s="124"/>
      <c r="G160" s="124"/>
      <c r="H160" s="27"/>
    </row>
    <row r="161" spans="1:8" ht="12.75">
      <c r="A161" s="26"/>
      <c r="B161" s="26"/>
      <c r="C161" s="26"/>
      <c r="D161" s="26"/>
      <c r="E161" s="26"/>
      <c r="F161" s="26"/>
      <c r="G161" s="26"/>
      <c r="H161" s="26"/>
    </row>
    <row r="162" spans="1:8" ht="25.5">
      <c r="A162" s="9" t="s">
        <v>2</v>
      </c>
      <c r="B162" s="9" t="s">
        <v>3</v>
      </c>
      <c r="C162" s="9" t="s">
        <v>4</v>
      </c>
      <c r="D162" s="9" t="s">
        <v>5</v>
      </c>
      <c r="E162" s="28" t="s">
        <v>6</v>
      </c>
      <c r="F162" s="28" t="s">
        <v>7</v>
      </c>
      <c r="G162" s="28" t="s">
        <v>8</v>
      </c>
      <c r="H162" s="29" t="s">
        <v>9</v>
      </c>
    </row>
    <row r="163" spans="1:8" ht="12.75">
      <c r="A163" s="8">
        <v>801</v>
      </c>
      <c r="B163" s="8">
        <v>80101</v>
      </c>
      <c r="C163" s="13"/>
      <c r="D163" s="54" t="s">
        <v>39</v>
      </c>
      <c r="E163" s="31">
        <f>SUM(E164:E183)</f>
        <v>677326</v>
      </c>
      <c r="F163" s="31">
        <f>SUM(F164:F183)</f>
        <v>849916</v>
      </c>
      <c r="G163" s="31">
        <f>SUM(G164:G183)-P164</f>
        <v>827852.2200000001</v>
      </c>
      <c r="H163" s="32">
        <f aca="true" t="shared" si="5" ref="H163:H172">(G163/F163)*100</f>
        <v>97.40400463104591</v>
      </c>
    </row>
    <row r="164" spans="1:8" ht="25.5">
      <c r="A164" s="8"/>
      <c r="B164" s="13"/>
      <c r="C164" s="13">
        <v>3020</v>
      </c>
      <c r="D164" s="20" t="s">
        <v>40</v>
      </c>
      <c r="E164" s="34">
        <v>36193</v>
      </c>
      <c r="F164" s="34">
        <v>37693</v>
      </c>
      <c r="G164" s="55">
        <v>36760.48</v>
      </c>
      <c r="H164" s="36">
        <f t="shared" si="5"/>
        <v>97.52601278752023</v>
      </c>
    </row>
    <row r="165" spans="1:8" ht="12.75">
      <c r="A165" s="8"/>
      <c r="B165" s="13"/>
      <c r="C165" s="13">
        <v>4010</v>
      </c>
      <c r="D165" s="24" t="s">
        <v>14</v>
      </c>
      <c r="E165" s="55">
        <v>400066</v>
      </c>
      <c r="F165" s="55">
        <v>428716</v>
      </c>
      <c r="G165" s="55">
        <v>415164.1</v>
      </c>
      <c r="H165" s="36">
        <f t="shared" si="5"/>
        <v>96.83895632539956</v>
      </c>
    </row>
    <row r="166" spans="1:8" ht="12.75">
      <c r="A166" s="8"/>
      <c r="B166" s="13"/>
      <c r="C166" s="13">
        <v>4040</v>
      </c>
      <c r="D166" s="24" t="s">
        <v>15</v>
      </c>
      <c r="E166" s="55">
        <v>31581</v>
      </c>
      <c r="F166" s="55">
        <v>30173</v>
      </c>
      <c r="G166" s="55">
        <v>30172.66</v>
      </c>
      <c r="H166" s="36">
        <f t="shared" si="5"/>
        <v>99.99887316474995</v>
      </c>
    </row>
    <row r="167" spans="1:8" ht="12.75">
      <c r="A167" s="8"/>
      <c r="B167" s="13"/>
      <c r="C167" s="13">
        <v>4110</v>
      </c>
      <c r="D167" s="24" t="s">
        <v>16</v>
      </c>
      <c r="E167" s="55">
        <v>72845</v>
      </c>
      <c r="F167" s="34">
        <v>73693</v>
      </c>
      <c r="G167" s="55">
        <v>68466.27</v>
      </c>
      <c r="H167" s="36">
        <f t="shared" si="5"/>
        <v>92.90742675695114</v>
      </c>
    </row>
    <row r="168" spans="1:8" ht="12.75">
      <c r="A168" s="8"/>
      <c r="B168" s="13"/>
      <c r="C168" s="13">
        <v>4120</v>
      </c>
      <c r="D168" s="24" t="s">
        <v>17</v>
      </c>
      <c r="E168" s="55">
        <v>11544</v>
      </c>
      <c r="F168" s="34">
        <v>10394</v>
      </c>
      <c r="G168" s="55">
        <v>9403.67</v>
      </c>
      <c r="H168" s="36">
        <f t="shared" si="5"/>
        <v>90.4720992880508</v>
      </c>
    </row>
    <row r="169" spans="1:8" ht="12.75">
      <c r="A169" s="8"/>
      <c r="B169" s="13"/>
      <c r="C169" s="13">
        <v>4170</v>
      </c>
      <c r="D169" s="24" t="s">
        <v>23</v>
      </c>
      <c r="E169" s="55">
        <v>4200</v>
      </c>
      <c r="F169" s="34">
        <v>4200</v>
      </c>
      <c r="G169" s="55">
        <v>4006</v>
      </c>
      <c r="H169" s="36">
        <f t="shared" si="5"/>
        <v>95.38095238095238</v>
      </c>
    </row>
    <row r="170" spans="1:8" ht="12.75">
      <c r="A170" s="8"/>
      <c r="B170" s="13"/>
      <c r="C170" s="13">
        <v>4210</v>
      </c>
      <c r="D170" s="24" t="s">
        <v>18</v>
      </c>
      <c r="E170" s="55">
        <v>59100</v>
      </c>
      <c r="F170" s="55">
        <f>90058</f>
        <v>90058</v>
      </c>
      <c r="G170" s="55">
        <v>90056.88</v>
      </c>
      <c r="H170" s="36">
        <f t="shared" si="5"/>
        <v>99.99875635701437</v>
      </c>
    </row>
    <row r="171" spans="1:8" ht="25.5">
      <c r="A171" s="8"/>
      <c r="B171" s="13"/>
      <c r="C171" s="13">
        <v>4240</v>
      </c>
      <c r="D171" s="20" t="s">
        <v>41</v>
      </c>
      <c r="E171" s="55">
        <v>1000</v>
      </c>
      <c r="F171" s="55">
        <v>20709</v>
      </c>
      <c r="G171" s="55">
        <v>20709</v>
      </c>
      <c r="H171" s="36">
        <f t="shared" si="5"/>
        <v>100</v>
      </c>
    </row>
    <row r="172" spans="1:8" ht="12.75">
      <c r="A172" s="8"/>
      <c r="B172" s="13"/>
      <c r="C172" s="13">
        <v>4260</v>
      </c>
      <c r="D172" s="24" t="s">
        <v>24</v>
      </c>
      <c r="E172" s="34">
        <v>11000</v>
      </c>
      <c r="F172" s="34">
        <f>11000-200</f>
        <v>10800</v>
      </c>
      <c r="G172" s="55">
        <f>10779.89</f>
        <v>10779.89</v>
      </c>
      <c r="H172" s="36">
        <f t="shared" si="5"/>
        <v>99.81379629629629</v>
      </c>
    </row>
    <row r="173" spans="1:8" ht="12.75">
      <c r="A173" s="8"/>
      <c r="B173" s="13"/>
      <c r="C173" s="13">
        <v>4270</v>
      </c>
      <c r="D173" s="15" t="s">
        <v>42</v>
      </c>
      <c r="E173" s="34">
        <v>10000</v>
      </c>
      <c r="F173" s="34">
        <v>0</v>
      </c>
      <c r="G173" s="55">
        <v>0</v>
      </c>
      <c r="H173" s="36">
        <v>0</v>
      </c>
    </row>
    <row r="174" spans="1:8" ht="12.75">
      <c r="A174" s="8"/>
      <c r="B174" s="13"/>
      <c r="C174" s="13">
        <v>4280</v>
      </c>
      <c r="D174" s="24" t="s">
        <v>25</v>
      </c>
      <c r="E174" s="34">
        <v>2150</v>
      </c>
      <c r="F174" s="34">
        <f>2150-970</f>
        <v>1180</v>
      </c>
      <c r="G174" s="55">
        <v>1180</v>
      </c>
      <c r="H174" s="36">
        <f aca="true" t="shared" si="6" ref="H174:H205">(G174/F174)*100</f>
        <v>100</v>
      </c>
    </row>
    <row r="175" spans="1:8" ht="12.75">
      <c r="A175" s="8"/>
      <c r="B175" s="13"/>
      <c r="C175" s="13">
        <v>4300</v>
      </c>
      <c r="D175" s="24" t="s">
        <v>12</v>
      </c>
      <c r="E175" s="34">
        <v>8200</v>
      </c>
      <c r="F175" s="34">
        <v>8200</v>
      </c>
      <c r="G175" s="55">
        <v>7752.18</v>
      </c>
      <c r="H175" s="36">
        <f t="shared" si="6"/>
        <v>94.53878048780489</v>
      </c>
    </row>
    <row r="176" spans="1:8" ht="12.75">
      <c r="A176" s="8"/>
      <c r="B176" s="13"/>
      <c r="C176" s="13">
        <v>4350</v>
      </c>
      <c r="D176" s="24" t="s">
        <v>43</v>
      </c>
      <c r="E176" s="34">
        <v>1000</v>
      </c>
      <c r="F176" s="34">
        <v>1200</v>
      </c>
      <c r="G176" s="55">
        <v>1200</v>
      </c>
      <c r="H176" s="36">
        <f t="shared" si="6"/>
        <v>100</v>
      </c>
    </row>
    <row r="177" spans="1:8" ht="38.25">
      <c r="A177" s="8"/>
      <c r="B177" s="13"/>
      <c r="C177" s="13">
        <v>4370</v>
      </c>
      <c r="D177" s="37" t="s">
        <v>44</v>
      </c>
      <c r="E177" s="34">
        <v>2000</v>
      </c>
      <c r="F177" s="34">
        <v>1800</v>
      </c>
      <c r="G177" s="55">
        <v>1142.4</v>
      </c>
      <c r="H177" s="36">
        <f t="shared" si="6"/>
        <v>63.46666666666667</v>
      </c>
    </row>
    <row r="178" spans="1:8" ht="12.75">
      <c r="A178" s="8"/>
      <c r="B178" s="13"/>
      <c r="C178" s="13">
        <v>4410</v>
      </c>
      <c r="D178" s="24" t="s">
        <v>19</v>
      </c>
      <c r="E178" s="34">
        <v>700</v>
      </c>
      <c r="F178" s="34">
        <v>700</v>
      </c>
      <c r="G178" s="55">
        <v>659.03</v>
      </c>
      <c r="H178" s="36">
        <f t="shared" si="6"/>
        <v>94.14714285714285</v>
      </c>
    </row>
    <row r="179" spans="1:8" ht="12.75">
      <c r="A179" s="8"/>
      <c r="B179" s="13"/>
      <c r="C179" s="13">
        <v>4430</v>
      </c>
      <c r="D179" s="24" t="s">
        <v>28</v>
      </c>
      <c r="E179" s="34">
        <v>2000</v>
      </c>
      <c r="F179" s="34">
        <v>2000</v>
      </c>
      <c r="G179" s="55">
        <f>2000</f>
        <v>2000</v>
      </c>
      <c r="H179" s="36">
        <f t="shared" si="6"/>
        <v>100</v>
      </c>
    </row>
    <row r="180" spans="1:8" ht="25.5">
      <c r="A180" s="8"/>
      <c r="B180" s="13"/>
      <c r="C180" s="13">
        <v>4440</v>
      </c>
      <c r="D180" s="20" t="s">
        <v>21</v>
      </c>
      <c r="E180" s="34">
        <v>22247</v>
      </c>
      <c r="F180" s="55">
        <v>22930</v>
      </c>
      <c r="G180" s="55">
        <f>22930</f>
        <v>22930</v>
      </c>
      <c r="H180" s="36">
        <f t="shared" si="6"/>
        <v>100</v>
      </c>
    </row>
    <row r="181" spans="1:8" ht="38.25">
      <c r="A181" s="8"/>
      <c r="B181" s="13"/>
      <c r="C181" s="13">
        <v>4740</v>
      </c>
      <c r="D181" s="38" t="s">
        <v>30</v>
      </c>
      <c r="E181" s="55">
        <v>500</v>
      </c>
      <c r="F181" s="55">
        <v>500</v>
      </c>
      <c r="G181" s="55">
        <v>500</v>
      </c>
      <c r="H181" s="36">
        <f t="shared" si="6"/>
        <v>100</v>
      </c>
    </row>
    <row r="182" spans="1:8" ht="25.5">
      <c r="A182" s="8"/>
      <c r="B182" s="13"/>
      <c r="C182" s="13">
        <v>4750</v>
      </c>
      <c r="D182" s="20" t="s">
        <v>31</v>
      </c>
      <c r="E182" s="55">
        <v>1000</v>
      </c>
      <c r="F182" s="55">
        <v>1000</v>
      </c>
      <c r="G182" s="55">
        <v>999.66</v>
      </c>
      <c r="H182" s="36">
        <f t="shared" si="6"/>
        <v>99.966</v>
      </c>
    </row>
    <row r="183" spans="1:8" ht="25.5">
      <c r="A183" s="8"/>
      <c r="B183" s="13"/>
      <c r="C183" s="13">
        <v>6050</v>
      </c>
      <c r="D183" s="20" t="s">
        <v>60</v>
      </c>
      <c r="E183" s="55">
        <v>0</v>
      </c>
      <c r="F183" s="55">
        <v>103970</v>
      </c>
      <c r="G183" s="55">
        <f>4000+99970</f>
        <v>103970</v>
      </c>
      <c r="H183" s="36">
        <f t="shared" si="6"/>
        <v>100</v>
      </c>
    </row>
    <row r="184" spans="1:8" ht="25.5">
      <c r="A184" s="8">
        <v>801</v>
      </c>
      <c r="B184" s="8">
        <v>80103</v>
      </c>
      <c r="C184" s="13"/>
      <c r="D184" s="22" t="s">
        <v>45</v>
      </c>
      <c r="E184" s="31">
        <f>SUM(E185:E191)</f>
        <v>58150</v>
      </c>
      <c r="F184" s="31">
        <f>SUM(F185:F191)</f>
        <v>59270</v>
      </c>
      <c r="G184" s="31">
        <f>SUM(G185:G191)-P185</f>
        <v>56649.17</v>
      </c>
      <c r="H184" s="32">
        <f t="shared" si="6"/>
        <v>95.57815083516113</v>
      </c>
    </row>
    <row r="185" spans="1:8" ht="25.5">
      <c r="A185" s="8"/>
      <c r="B185" s="13"/>
      <c r="C185" s="13">
        <v>3020</v>
      </c>
      <c r="D185" s="20" t="s">
        <v>40</v>
      </c>
      <c r="E185" s="55">
        <v>2922</v>
      </c>
      <c r="F185" s="55">
        <v>3072</v>
      </c>
      <c r="G185" s="55">
        <v>2959.78</v>
      </c>
      <c r="H185" s="36">
        <f t="shared" si="6"/>
        <v>96.34700520833334</v>
      </c>
    </row>
    <row r="186" spans="1:8" ht="12.75">
      <c r="A186" s="8"/>
      <c r="B186" s="13"/>
      <c r="C186" s="13">
        <v>4010</v>
      </c>
      <c r="D186" s="24" t="s">
        <v>14</v>
      </c>
      <c r="E186" s="55">
        <v>41028</v>
      </c>
      <c r="F186" s="55">
        <v>41836</v>
      </c>
      <c r="G186" s="55">
        <v>40129.84</v>
      </c>
      <c r="H186" s="36">
        <f t="shared" si="6"/>
        <v>95.9217898460656</v>
      </c>
    </row>
    <row r="187" spans="1:8" ht="12.75">
      <c r="A187" s="8"/>
      <c r="B187" s="13"/>
      <c r="C187" s="13">
        <v>4040</v>
      </c>
      <c r="D187" s="24" t="s">
        <v>15</v>
      </c>
      <c r="E187" s="55">
        <v>3184</v>
      </c>
      <c r="F187" s="55">
        <v>3176</v>
      </c>
      <c r="G187" s="55">
        <f>3175.49</f>
        <v>3175.49</v>
      </c>
      <c r="H187" s="36">
        <f t="shared" si="6"/>
        <v>99.98394206549118</v>
      </c>
    </row>
    <row r="188" spans="1:8" ht="12.75">
      <c r="A188" s="8"/>
      <c r="B188" s="13"/>
      <c r="C188" s="13">
        <v>4110</v>
      </c>
      <c r="D188" s="24" t="s">
        <v>16</v>
      </c>
      <c r="E188" s="55">
        <v>7268</v>
      </c>
      <c r="F188" s="55">
        <v>7318</v>
      </c>
      <c r="G188" s="55">
        <v>6607.08</v>
      </c>
      <c r="H188" s="36">
        <f t="shared" si="6"/>
        <v>90.28532385897786</v>
      </c>
    </row>
    <row r="189" spans="1:8" ht="12.75">
      <c r="A189" s="8"/>
      <c r="B189" s="13"/>
      <c r="C189" s="13">
        <v>4120</v>
      </c>
      <c r="D189" s="24" t="s">
        <v>17</v>
      </c>
      <c r="E189" s="55">
        <v>1152</v>
      </c>
      <c r="F189" s="55">
        <v>1152</v>
      </c>
      <c r="G189" s="55">
        <v>1060.98</v>
      </c>
      <c r="H189" s="36">
        <f t="shared" si="6"/>
        <v>92.09895833333334</v>
      </c>
    </row>
    <row r="190" spans="1:8" ht="25.5">
      <c r="A190" s="8"/>
      <c r="B190" s="13"/>
      <c r="C190" s="13">
        <v>4240</v>
      </c>
      <c r="D190" s="20" t="s">
        <v>41</v>
      </c>
      <c r="E190" s="55">
        <v>200</v>
      </c>
      <c r="F190" s="55">
        <v>200</v>
      </c>
      <c r="G190" s="55">
        <f>161.1+38.9</f>
        <v>200</v>
      </c>
      <c r="H190" s="36">
        <f t="shared" si="6"/>
        <v>100</v>
      </c>
    </row>
    <row r="191" spans="1:8" ht="25.5">
      <c r="A191" s="8"/>
      <c r="B191" s="13"/>
      <c r="C191" s="13">
        <v>4440</v>
      </c>
      <c r="D191" s="20" t="s">
        <v>21</v>
      </c>
      <c r="E191" s="55">
        <v>2396</v>
      </c>
      <c r="F191" s="55">
        <v>2516</v>
      </c>
      <c r="G191" s="55">
        <f>2516</f>
        <v>2516</v>
      </c>
      <c r="H191" s="36">
        <f t="shared" si="6"/>
        <v>100</v>
      </c>
    </row>
    <row r="192" spans="1:8" ht="12.75">
      <c r="A192" s="8">
        <v>801</v>
      </c>
      <c r="B192" s="8">
        <v>80110</v>
      </c>
      <c r="C192" s="13"/>
      <c r="D192" s="54" t="s">
        <v>46</v>
      </c>
      <c r="E192" s="31">
        <f>SUM(E193:E202)</f>
        <v>255380</v>
      </c>
      <c r="F192" s="31">
        <f>SUM(F193:F202)</f>
        <v>264344</v>
      </c>
      <c r="G192" s="31">
        <f>SUM(G193:G202)-P193</f>
        <v>254777.6</v>
      </c>
      <c r="H192" s="32">
        <f t="shared" si="6"/>
        <v>96.38107919983052</v>
      </c>
    </row>
    <row r="193" spans="1:8" ht="25.5">
      <c r="A193" s="8"/>
      <c r="B193" s="13"/>
      <c r="C193" s="13">
        <v>3020</v>
      </c>
      <c r="D193" s="20" t="s">
        <v>40</v>
      </c>
      <c r="E193" s="55">
        <v>15554</v>
      </c>
      <c r="F193" s="55">
        <v>16354</v>
      </c>
      <c r="G193" s="55">
        <v>15808.23</v>
      </c>
      <c r="H193" s="36">
        <f t="shared" si="6"/>
        <v>96.66277363336187</v>
      </c>
    </row>
    <row r="194" spans="1:8" ht="12.75">
      <c r="A194" s="8"/>
      <c r="B194" s="13"/>
      <c r="C194" s="13">
        <v>4010</v>
      </c>
      <c r="D194" s="24" t="s">
        <v>14</v>
      </c>
      <c r="E194" s="55">
        <v>174604</v>
      </c>
      <c r="F194" s="55">
        <v>182472</v>
      </c>
      <c r="G194" s="55">
        <v>177128.31</v>
      </c>
      <c r="H194" s="36">
        <f t="shared" si="6"/>
        <v>97.0715013810338</v>
      </c>
    </row>
    <row r="195" spans="1:8" ht="12.75">
      <c r="A195" s="8"/>
      <c r="B195" s="13"/>
      <c r="C195" s="13">
        <v>4040</v>
      </c>
      <c r="D195" s="24" t="s">
        <v>15</v>
      </c>
      <c r="E195" s="55">
        <v>14084</v>
      </c>
      <c r="F195" s="55">
        <v>13716</v>
      </c>
      <c r="G195" s="55">
        <f>13715.23</f>
        <v>13715.23</v>
      </c>
      <c r="H195" s="36">
        <f t="shared" si="6"/>
        <v>99.99438611840186</v>
      </c>
    </row>
    <row r="196" spans="1:8" ht="12.75">
      <c r="A196" s="8"/>
      <c r="B196" s="13"/>
      <c r="C196" s="13">
        <v>4110</v>
      </c>
      <c r="D196" s="24" t="s">
        <v>16</v>
      </c>
      <c r="E196" s="55">
        <v>31491</v>
      </c>
      <c r="F196" s="55">
        <v>32091</v>
      </c>
      <c r="G196" s="55">
        <v>29081.94</v>
      </c>
      <c r="H196" s="36">
        <f t="shared" si="6"/>
        <v>90.62335234177806</v>
      </c>
    </row>
    <row r="197" spans="1:8" ht="12.75">
      <c r="A197" s="8"/>
      <c r="B197" s="13"/>
      <c r="C197" s="13">
        <v>4120</v>
      </c>
      <c r="D197" s="24" t="s">
        <v>17</v>
      </c>
      <c r="E197" s="55">
        <v>4990</v>
      </c>
      <c r="F197" s="55">
        <v>4860</v>
      </c>
      <c r="G197" s="55">
        <v>4194.43</v>
      </c>
      <c r="H197" s="36">
        <f t="shared" si="6"/>
        <v>86.30514403292182</v>
      </c>
    </row>
    <row r="198" spans="1:8" ht="12.75">
      <c r="A198" s="8"/>
      <c r="B198" s="13"/>
      <c r="C198" s="13">
        <v>4210</v>
      </c>
      <c r="D198" s="24" t="s">
        <v>18</v>
      </c>
      <c r="E198" s="55">
        <v>1000</v>
      </c>
      <c r="F198" s="55">
        <v>1000</v>
      </c>
      <c r="G198" s="55">
        <v>1000</v>
      </c>
      <c r="H198" s="36">
        <f t="shared" si="6"/>
        <v>100</v>
      </c>
    </row>
    <row r="199" spans="1:8" ht="25.5">
      <c r="A199" s="8"/>
      <c r="B199" s="13"/>
      <c r="C199" s="13">
        <v>4240</v>
      </c>
      <c r="D199" s="20" t="s">
        <v>41</v>
      </c>
      <c r="E199" s="55">
        <v>500</v>
      </c>
      <c r="F199" s="55">
        <v>500</v>
      </c>
      <c r="G199" s="55">
        <f>320.5+179.2</f>
        <v>499.7</v>
      </c>
      <c r="H199" s="36">
        <f t="shared" si="6"/>
        <v>99.94</v>
      </c>
    </row>
    <row r="200" spans="1:8" ht="12.75">
      <c r="A200" s="8"/>
      <c r="B200" s="13"/>
      <c r="C200" s="13">
        <v>4410</v>
      </c>
      <c r="D200" s="24" t="s">
        <v>19</v>
      </c>
      <c r="E200" s="55">
        <v>500</v>
      </c>
      <c r="F200" s="55">
        <f>500-430</f>
        <v>70</v>
      </c>
      <c r="G200" s="55">
        <f>69.4</f>
        <v>69.4</v>
      </c>
      <c r="H200" s="36">
        <f t="shared" si="6"/>
        <v>99.14285714285715</v>
      </c>
    </row>
    <row r="201" spans="1:8" ht="25.5">
      <c r="A201" s="8"/>
      <c r="B201" s="13"/>
      <c r="C201" s="13">
        <v>4440</v>
      </c>
      <c r="D201" s="20" t="s">
        <v>21</v>
      </c>
      <c r="E201" s="55">
        <v>12457</v>
      </c>
      <c r="F201" s="55">
        <v>13081</v>
      </c>
      <c r="G201" s="55">
        <f>13081</f>
        <v>13081</v>
      </c>
      <c r="H201" s="36">
        <f t="shared" si="6"/>
        <v>100</v>
      </c>
    </row>
    <row r="202" spans="1:8" ht="38.25">
      <c r="A202" s="8"/>
      <c r="B202" s="13"/>
      <c r="C202" s="13">
        <v>4740</v>
      </c>
      <c r="D202" s="20" t="s">
        <v>30</v>
      </c>
      <c r="E202" s="55">
        <v>200</v>
      </c>
      <c r="F202" s="55">
        <v>200</v>
      </c>
      <c r="G202" s="55">
        <v>199.36</v>
      </c>
      <c r="H202" s="36">
        <f t="shared" si="6"/>
        <v>99.68</v>
      </c>
    </row>
    <row r="203" spans="1:8" ht="25.5">
      <c r="A203" s="8">
        <v>801</v>
      </c>
      <c r="B203" s="8">
        <v>80146</v>
      </c>
      <c r="C203" s="13"/>
      <c r="D203" s="22" t="s">
        <v>49</v>
      </c>
      <c r="E203" s="31">
        <f>SUM(E204:E206)</f>
        <v>5600</v>
      </c>
      <c r="F203" s="31">
        <f>SUM(F204:F206)</f>
        <v>5500</v>
      </c>
      <c r="G203" s="31">
        <f>SUM(G204:G206)</f>
        <v>5498</v>
      </c>
      <c r="H203" s="32">
        <f t="shared" si="6"/>
        <v>99.96363636363637</v>
      </c>
    </row>
    <row r="204" spans="1:8" ht="12.75">
      <c r="A204" s="8"/>
      <c r="B204" s="8"/>
      <c r="C204" s="13">
        <v>4210</v>
      </c>
      <c r="D204" s="24" t="s">
        <v>18</v>
      </c>
      <c r="E204" s="34">
        <v>1000</v>
      </c>
      <c r="F204" s="34">
        <v>100</v>
      </c>
      <c r="G204" s="34">
        <f>98</f>
        <v>98</v>
      </c>
      <c r="H204" s="36">
        <f t="shared" si="6"/>
        <v>98</v>
      </c>
    </row>
    <row r="205" spans="1:8" ht="12.75">
      <c r="A205" s="8"/>
      <c r="B205" s="13"/>
      <c r="C205" s="13">
        <v>4300</v>
      </c>
      <c r="D205" s="24" t="s">
        <v>12</v>
      </c>
      <c r="E205" s="34">
        <v>3700</v>
      </c>
      <c r="F205" s="34">
        <v>5400</v>
      </c>
      <c r="G205" s="34">
        <f>4557+843</f>
        <v>5400</v>
      </c>
      <c r="H205" s="36">
        <f t="shared" si="6"/>
        <v>100</v>
      </c>
    </row>
    <row r="206" spans="1:8" ht="12.75">
      <c r="A206" s="8"/>
      <c r="B206" s="13"/>
      <c r="C206" s="13">
        <v>4410</v>
      </c>
      <c r="D206" s="24" t="s">
        <v>19</v>
      </c>
      <c r="E206" s="34">
        <v>900</v>
      </c>
      <c r="F206" s="34">
        <f>100-100</f>
        <v>0</v>
      </c>
      <c r="G206" s="34">
        <f>0</f>
        <v>0</v>
      </c>
      <c r="H206" s="36">
        <v>0</v>
      </c>
    </row>
    <row r="207" spans="1:8" ht="12.75">
      <c r="A207" s="8">
        <v>801</v>
      </c>
      <c r="B207" s="8">
        <v>80195</v>
      </c>
      <c r="C207" s="13"/>
      <c r="D207" s="54" t="s">
        <v>32</v>
      </c>
      <c r="E207" s="31">
        <f>E208</f>
        <v>5772</v>
      </c>
      <c r="F207" s="31">
        <f>SUM(F208:F208)</f>
        <v>5743</v>
      </c>
      <c r="G207" s="31">
        <f>SUM(G208:G208)</f>
        <v>5743</v>
      </c>
      <c r="H207" s="32">
        <f aca="true" t="shared" si="7" ref="H207:H228">(G207/F207)*100</f>
        <v>100</v>
      </c>
    </row>
    <row r="208" spans="1:8" ht="25.5">
      <c r="A208" s="8"/>
      <c r="B208" s="8"/>
      <c r="C208" s="13">
        <v>4440</v>
      </c>
      <c r="D208" s="20" t="s">
        <v>21</v>
      </c>
      <c r="E208" s="34">
        <v>5772</v>
      </c>
      <c r="F208" s="34">
        <v>5743</v>
      </c>
      <c r="G208" s="34">
        <v>5743</v>
      </c>
      <c r="H208" s="36">
        <f t="shared" si="7"/>
        <v>100</v>
      </c>
    </row>
    <row r="209" spans="1:8" ht="13.5">
      <c r="A209" s="8"/>
      <c r="B209" s="49"/>
      <c r="C209" s="50"/>
      <c r="D209" s="54" t="s">
        <v>33</v>
      </c>
      <c r="E209" s="31">
        <f>E207+E203+E192+E184+E163</f>
        <v>1002228</v>
      </c>
      <c r="F209" s="31">
        <f>F207+F203+F192+F184+F163</f>
        <v>1184773</v>
      </c>
      <c r="G209" s="31">
        <f>G207+G203+G192+G184+G163</f>
        <v>1150519.99</v>
      </c>
      <c r="H209" s="32">
        <f t="shared" si="7"/>
        <v>97.10889680976862</v>
      </c>
    </row>
    <row r="210" spans="1:8" ht="12.75">
      <c r="A210" s="8">
        <v>852</v>
      </c>
      <c r="B210" s="51">
        <v>85295</v>
      </c>
      <c r="C210" s="8"/>
      <c r="D210" s="22" t="s">
        <v>32</v>
      </c>
      <c r="E210" s="56">
        <f>SUM(E211:E216)</f>
        <v>5260</v>
      </c>
      <c r="F210" s="56">
        <f>SUM(F211:F216)</f>
        <v>5260.03</v>
      </c>
      <c r="G210" s="56">
        <f>SUM(G211:G216)</f>
        <v>5260.03</v>
      </c>
      <c r="H210" s="32">
        <f t="shared" si="7"/>
        <v>100</v>
      </c>
    </row>
    <row r="211" spans="1:8" ht="12.75">
      <c r="A211" s="8"/>
      <c r="B211" s="52">
        <v>85295</v>
      </c>
      <c r="C211" s="13">
        <v>4113</v>
      </c>
      <c r="D211" s="20" t="s">
        <v>51</v>
      </c>
      <c r="E211" s="55">
        <v>687</v>
      </c>
      <c r="F211" s="55">
        <v>178</v>
      </c>
      <c r="G211" s="55">
        <f aca="true" t="shared" si="8" ref="G211:G216">F211</f>
        <v>178</v>
      </c>
      <c r="H211" s="36">
        <f t="shared" si="7"/>
        <v>100</v>
      </c>
    </row>
    <row r="212" spans="1:8" ht="12.75">
      <c r="A212" s="8"/>
      <c r="B212" s="52"/>
      <c r="C212" s="13">
        <v>4123</v>
      </c>
      <c r="D212" s="20" t="s">
        <v>52</v>
      </c>
      <c r="E212" s="55">
        <v>109</v>
      </c>
      <c r="F212" s="55">
        <v>5</v>
      </c>
      <c r="G212" s="55">
        <f t="shared" si="8"/>
        <v>5</v>
      </c>
      <c r="H212" s="36">
        <f t="shared" si="7"/>
        <v>100</v>
      </c>
    </row>
    <row r="213" spans="1:8" ht="12.75">
      <c r="A213" s="8"/>
      <c r="B213" s="52" t="s">
        <v>53</v>
      </c>
      <c r="C213" s="52">
        <v>4173</v>
      </c>
      <c r="D213" s="24" t="s">
        <v>54</v>
      </c>
      <c r="E213" s="55">
        <v>4464</v>
      </c>
      <c r="F213" s="55">
        <v>1608</v>
      </c>
      <c r="G213" s="55">
        <f t="shared" si="8"/>
        <v>1608</v>
      </c>
      <c r="H213" s="36">
        <f t="shared" si="7"/>
        <v>100</v>
      </c>
    </row>
    <row r="214" spans="1:8" ht="12.75">
      <c r="A214" s="8"/>
      <c r="B214" s="52"/>
      <c r="C214" s="52">
        <v>4213</v>
      </c>
      <c r="D214" s="24" t="s">
        <v>18</v>
      </c>
      <c r="E214" s="55">
        <v>0</v>
      </c>
      <c r="F214" s="55">
        <v>1327.03</v>
      </c>
      <c r="G214" s="55">
        <f t="shared" si="8"/>
        <v>1327.03</v>
      </c>
      <c r="H214" s="36">
        <f t="shared" si="7"/>
        <v>100</v>
      </c>
    </row>
    <row r="215" spans="1:8" ht="12.75">
      <c r="A215" s="8"/>
      <c r="B215" s="52"/>
      <c r="C215" s="52">
        <v>4273</v>
      </c>
      <c r="D215" s="24" t="s">
        <v>42</v>
      </c>
      <c r="E215" s="55">
        <v>0</v>
      </c>
      <c r="F215" s="55">
        <v>1000</v>
      </c>
      <c r="G215" s="55">
        <f t="shared" si="8"/>
        <v>1000</v>
      </c>
      <c r="H215" s="36">
        <f t="shared" si="7"/>
        <v>100</v>
      </c>
    </row>
    <row r="216" spans="1:8" ht="12.75">
      <c r="A216" s="8"/>
      <c r="B216" s="52"/>
      <c r="C216" s="52">
        <v>4303</v>
      </c>
      <c r="D216" s="53" t="s">
        <v>55</v>
      </c>
      <c r="E216" s="55">
        <v>0</v>
      </c>
      <c r="F216" s="55">
        <v>1142</v>
      </c>
      <c r="G216" s="55">
        <f t="shared" si="8"/>
        <v>1142</v>
      </c>
      <c r="H216" s="36">
        <f t="shared" si="7"/>
        <v>100</v>
      </c>
    </row>
    <row r="217" spans="1:8" ht="12.75">
      <c r="A217" s="8"/>
      <c r="B217" s="13"/>
      <c r="C217" s="13"/>
      <c r="D217" s="54" t="s">
        <v>56</v>
      </c>
      <c r="E217" s="56">
        <f>E210</f>
        <v>5260</v>
      </c>
      <c r="F217" s="56">
        <f>F210</f>
        <v>5260.03</v>
      </c>
      <c r="G217" s="56">
        <f>G210</f>
        <v>5260.03</v>
      </c>
      <c r="H217" s="32">
        <f t="shared" si="7"/>
        <v>100</v>
      </c>
    </row>
    <row r="218" spans="1:8" ht="12.75">
      <c r="A218" s="8">
        <v>854</v>
      </c>
      <c r="B218" s="8">
        <v>85401</v>
      </c>
      <c r="C218" s="13"/>
      <c r="D218" s="54" t="s">
        <v>57</v>
      </c>
      <c r="E218" s="31">
        <f>SUM(E219:E224)</f>
        <v>25639</v>
      </c>
      <c r="F218" s="31">
        <f>SUM(F219:F224)</f>
        <v>26959</v>
      </c>
      <c r="G218" s="31">
        <f>SUM(G219:G224)-P219</f>
        <v>25258.140000000003</v>
      </c>
      <c r="H218" s="32">
        <f t="shared" si="7"/>
        <v>93.6909380911755</v>
      </c>
    </row>
    <row r="219" spans="1:8" ht="25.5">
      <c r="A219" s="8"/>
      <c r="B219" s="13"/>
      <c r="C219" s="13">
        <v>3020</v>
      </c>
      <c r="D219" s="20" t="s">
        <v>40</v>
      </c>
      <c r="E219" s="34">
        <v>2849</v>
      </c>
      <c r="F219" s="34">
        <v>2949</v>
      </c>
      <c r="G219" s="55">
        <v>2780.88</v>
      </c>
      <c r="H219" s="36">
        <f t="shared" si="7"/>
        <v>94.29908443540184</v>
      </c>
    </row>
    <row r="220" spans="1:8" ht="12.75">
      <c r="A220" s="8"/>
      <c r="B220" s="13"/>
      <c r="C220" s="13">
        <v>4010</v>
      </c>
      <c r="D220" s="24" t="s">
        <v>14</v>
      </c>
      <c r="E220" s="34">
        <v>16435</v>
      </c>
      <c r="F220" s="34">
        <v>17435</v>
      </c>
      <c r="G220" s="55">
        <v>16402.24</v>
      </c>
      <c r="H220" s="36">
        <f t="shared" si="7"/>
        <v>94.07651276168627</v>
      </c>
    </row>
    <row r="221" spans="1:8" ht="12.75">
      <c r="A221" s="8"/>
      <c r="B221" s="13"/>
      <c r="C221" s="13">
        <v>4040</v>
      </c>
      <c r="D221" s="24" t="s">
        <v>15</v>
      </c>
      <c r="E221" s="34">
        <v>1290</v>
      </c>
      <c r="F221" s="34">
        <v>1290</v>
      </c>
      <c r="G221" s="55">
        <f>1289.65</f>
        <v>1289.65</v>
      </c>
      <c r="H221" s="36">
        <f t="shared" si="7"/>
        <v>99.97286821705427</v>
      </c>
    </row>
    <row r="222" spans="1:8" ht="12.75">
      <c r="A222" s="8"/>
      <c r="B222" s="13"/>
      <c r="C222" s="13">
        <v>4110</v>
      </c>
      <c r="D222" s="24" t="s">
        <v>16</v>
      </c>
      <c r="E222" s="34">
        <v>3173</v>
      </c>
      <c r="F222" s="34">
        <v>3223</v>
      </c>
      <c r="G222" s="55">
        <v>2830.5</v>
      </c>
      <c r="H222" s="36">
        <f t="shared" si="7"/>
        <v>87.82190505739995</v>
      </c>
    </row>
    <row r="223" spans="1:8" ht="12.75">
      <c r="A223" s="8"/>
      <c r="B223" s="13"/>
      <c r="C223" s="13">
        <v>4120</v>
      </c>
      <c r="D223" s="24" t="s">
        <v>17</v>
      </c>
      <c r="E223" s="34">
        <v>503</v>
      </c>
      <c r="F223" s="34">
        <v>603</v>
      </c>
      <c r="G223" s="55">
        <v>495.87</v>
      </c>
      <c r="H223" s="36">
        <f t="shared" si="7"/>
        <v>82.23383084577115</v>
      </c>
    </row>
    <row r="224" spans="1:8" ht="25.5">
      <c r="A224" s="8"/>
      <c r="B224" s="13"/>
      <c r="C224" s="13">
        <v>4440</v>
      </c>
      <c r="D224" s="20" t="s">
        <v>21</v>
      </c>
      <c r="E224" s="34">
        <v>1389</v>
      </c>
      <c r="F224" s="34">
        <v>1459</v>
      </c>
      <c r="G224" s="55">
        <f>1459</f>
        <v>1459</v>
      </c>
      <c r="H224" s="36">
        <f t="shared" si="7"/>
        <v>100</v>
      </c>
    </row>
    <row r="225" spans="1:8" ht="12.75">
      <c r="A225" s="8">
        <v>854</v>
      </c>
      <c r="B225" s="8">
        <v>85415</v>
      </c>
      <c r="C225" s="13"/>
      <c r="D225" s="54" t="s">
        <v>34</v>
      </c>
      <c r="E225" s="31">
        <f>E226</f>
        <v>0</v>
      </c>
      <c r="F225" s="31">
        <f>SUM(F226:F226)</f>
        <v>8833</v>
      </c>
      <c r="G225" s="31">
        <f>SUM(G226:G226)</f>
        <v>8833</v>
      </c>
      <c r="H225" s="32">
        <f t="shared" si="7"/>
        <v>100</v>
      </c>
    </row>
    <row r="226" spans="1:8" ht="12.75">
      <c r="A226" s="8"/>
      <c r="B226" s="13"/>
      <c r="C226" s="13">
        <v>3260</v>
      </c>
      <c r="D226" s="24" t="s">
        <v>58</v>
      </c>
      <c r="E226" s="34">
        <v>0</v>
      </c>
      <c r="F226" s="34">
        <v>8833</v>
      </c>
      <c r="G226" s="55">
        <v>8833</v>
      </c>
      <c r="H226" s="36">
        <f t="shared" si="7"/>
        <v>100</v>
      </c>
    </row>
    <row r="227" spans="1:8" ht="12.75">
      <c r="A227" s="8"/>
      <c r="B227" s="13"/>
      <c r="C227" s="13"/>
      <c r="D227" s="54" t="s">
        <v>36</v>
      </c>
      <c r="E227" s="56">
        <f>E225+E218</f>
        <v>25639</v>
      </c>
      <c r="F227" s="56">
        <f>F225+F218</f>
        <v>35792</v>
      </c>
      <c r="G227" s="56">
        <f>G225+G218</f>
        <v>34091.14</v>
      </c>
      <c r="H227" s="32">
        <f t="shared" si="7"/>
        <v>95.24793249888242</v>
      </c>
    </row>
    <row r="228" spans="1:8" ht="12.75">
      <c r="A228" s="8"/>
      <c r="B228" s="13"/>
      <c r="C228" s="13"/>
      <c r="D228" s="54" t="s">
        <v>37</v>
      </c>
      <c r="E228" s="31">
        <f>E227+E217+E209</f>
        <v>1033127</v>
      </c>
      <c r="F228" s="31">
        <f>F227+F217+F209</f>
        <v>1225825.03</v>
      </c>
      <c r="G228" s="31">
        <f>G227+G217+G209</f>
        <v>1189871.16</v>
      </c>
      <c r="H228" s="32">
        <f t="shared" si="7"/>
        <v>97.0669655848029</v>
      </c>
    </row>
    <row r="231" spans="1:8" ht="15">
      <c r="A231" s="124" t="s">
        <v>0</v>
      </c>
      <c r="B231" s="124"/>
      <c r="C231" s="124"/>
      <c r="D231" s="124"/>
      <c r="E231" s="124"/>
      <c r="F231" s="124"/>
      <c r="G231" s="124"/>
      <c r="H231" s="124"/>
    </row>
    <row r="232" spans="1:8" ht="15">
      <c r="A232" s="124" t="s">
        <v>61</v>
      </c>
      <c r="B232" s="124"/>
      <c r="C232" s="124"/>
      <c r="D232" s="124"/>
      <c r="E232" s="124"/>
      <c r="F232" s="124"/>
      <c r="G232" s="124"/>
      <c r="H232" s="27"/>
    </row>
    <row r="233" spans="1:8" ht="15">
      <c r="A233" s="57"/>
      <c r="B233" s="58"/>
      <c r="C233" s="58"/>
      <c r="D233" s="58"/>
      <c r="E233" s="59"/>
      <c r="F233" s="27"/>
      <c r="G233" s="27"/>
      <c r="H233" s="27"/>
    </row>
    <row r="234" spans="1:8" ht="25.5">
      <c r="A234" s="9" t="s">
        <v>2</v>
      </c>
      <c r="B234" s="9" t="s">
        <v>3</v>
      </c>
      <c r="C234" s="9" t="s">
        <v>4</v>
      </c>
      <c r="D234" s="9" t="s">
        <v>5</v>
      </c>
      <c r="E234" s="28" t="s">
        <v>6</v>
      </c>
      <c r="F234" s="28" t="s">
        <v>7</v>
      </c>
      <c r="G234" s="28" t="s">
        <v>8</v>
      </c>
      <c r="H234" s="29" t="s">
        <v>9</v>
      </c>
    </row>
    <row r="235" spans="1:8" ht="12.75">
      <c r="A235" s="9">
        <v>801</v>
      </c>
      <c r="B235" s="9">
        <v>80101</v>
      </c>
      <c r="C235" s="14"/>
      <c r="D235" s="10" t="s">
        <v>39</v>
      </c>
      <c r="E235" s="19">
        <f>SUM(E236:E254)</f>
        <v>616684</v>
      </c>
      <c r="F235" s="19">
        <f>SUM(F236:F254)</f>
        <v>713879</v>
      </c>
      <c r="G235" s="19">
        <f>SUM(G236:G254)</f>
        <v>690216.0399999999</v>
      </c>
      <c r="H235" s="60">
        <f aca="true" t="shared" si="9" ref="H235:H240">(G235/F235)*100</f>
        <v>96.68529820880008</v>
      </c>
    </row>
    <row r="236" spans="1:8" ht="25.5">
      <c r="A236" s="9"/>
      <c r="B236" s="14"/>
      <c r="C236" s="14">
        <v>3020</v>
      </c>
      <c r="D236" s="20" t="s">
        <v>40</v>
      </c>
      <c r="E236" s="25">
        <v>38652</v>
      </c>
      <c r="F236" s="25">
        <v>38652</v>
      </c>
      <c r="G236" s="16">
        <v>36825.78</v>
      </c>
      <c r="H236" s="61">
        <f t="shared" si="9"/>
        <v>95.27522508537722</v>
      </c>
    </row>
    <row r="237" spans="1:8" ht="12.75">
      <c r="A237" s="9"/>
      <c r="B237" s="14"/>
      <c r="C237" s="14">
        <v>4010</v>
      </c>
      <c r="D237" s="62" t="s">
        <v>14</v>
      </c>
      <c r="E237" s="16">
        <v>400287</v>
      </c>
      <c r="F237" s="16">
        <v>409187</v>
      </c>
      <c r="G237" s="16">
        <v>395376.2</v>
      </c>
      <c r="H237" s="61">
        <f t="shared" si="9"/>
        <v>96.62481945907373</v>
      </c>
    </row>
    <row r="238" spans="1:8" ht="12.75">
      <c r="A238" s="9"/>
      <c r="B238" s="14"/>
      <c r="C238" s="14">
        <v>4040</v>
      </c>
      <c r="D238" s="62" t="s">
        <v>15</v>
      </c>
      <c r="E238" s="16">
        <v>33695</v>
      </c>
      <c r="F238" s="16">
        <v>31588</v>
      </c>
      <c r="G238" s="16">
        <f>31587.1</f>
        <v>31587.1</v>
      </c>
      <c r="H238" s="61">
        <f t="shared" si="9"/>
        <v>99.99715081676585</v>
      </c>
    </row>
    <row r="239" spans="1:8" ht="12.75">
      <c r="A239" s="9"/>
      <c r="B239" s="14"/>
      <c r="C239" s="14">
        <v>4110</v>
      </c>
      <c r="D239" s="62" t="s">
        <v>16</v>
      </c>
      <c r="E239" s="16">
        <v>70086</v>
      </c>
      <c r="F239" s="25">
        <v>70710</v>
      </c>
      <c r="G239" s="16">
        <v>64413.5</v>
      </c>
      <c r="H239" s="61">
        <f t="shared" si="9"/>
        <v>91.09531890821665</v>
      </c>
    </row>
    <row r="240" spans="1:8" ht="12.75">
      <c r="A240" s="9"/>
      <c r="B240" s="14"/>
      <c r="C240" s="14">
        <v>4120</v>
      </c>
      <c r="D240" s="62" t="s">
        <v>17</v>
      </c>
      <c r="E240" s="16">
        <v>11501</v>
      </c>
      <c r="F240" s="25">
        <v>10676</v>
      </c>
      <c r="G240" s="16">
        <v>10029.52</v>
      </c>
      <c r="H240" s="61">
        <f t="shared" si="9"/>
        <v>93.94454852004498</v>
      </c>
    </row>
    <row r="241" spans="1:8" ht="12.75">
      <c r="A241" s="9"/>
      <c r="B241" s="14"/>
      <c r="C241" s="52">
        <v>4170</v>
      </c>
      <c r="D241" s="24" t="s">
        <v>54</v>
      </c>
      <c r="E241" s="16">
        <v>4200</v>
      </c>
      <c r="F241" s="25">
        <v>0</v>
      </c>
      <c r="G241" s="16">
        <v>0</v>
      </c>
      <c r="H241" s="61">
        <v>0</v>
      </c>
    </row>
    <row r="242" spans="1:8" ht="12.75">
      <c r="A242" s="9"/>
      <c r="B242" s="9"/>
      <c r="C242" s="14">
        <v>4210</v>
      </c>
      <c r="D242" s="62" t="s">
        <v>18</v>
      </c>
      <c r="E242" s="16">
        <v>15500</v>
      </c>
      <c r="F242" s="16">
        <v>31760</v>
      </c>
      <c r="G242" s="16">
        <v>31671.92</v>
      </c>
      <c r="H242" s="61">
        <f aca="true" t="shared" si="10" ref="H242:H265">(G242/F242)*100</f>
        <v>99.7226700251889</v>
      </c>
    </row>
    <row r="243" spans="1:8" ht="25.5">
      <c r="A243" s="9"/>
      <c r="B243" s="14"/>
      <c r="C243" s="14">
        <v>4240</v>
      </c>
      <c r="D243" s="63" t="s">
        <v>41</v>
      </c>
      <c r="E243" s="16">
        <v>1000</v>
      </c>
      <c r="F243" s="16">
        <v>12504</v>
      </c>
      <c r="G243" s="16">
        <v>12503.32</v>
      </c>
      <c r="H243" s="61">
        <f t="shared" si="10"/>
        <v>99.99456174024311</v>
      </c>
    </row>
    <row r="244" spans="1:8" ht="12.75">
      <c r="A244" s="9"/>
      <c r="B244" s="14"/>
      <c r="C244" s="14">
        <v>4260</v>
      </c>
      <c r="D244" s="62" t="s">
        <v>24</v>
      </c>
      <c r="E244" s="25">
        <v>4950</v>
      </c>
      <c r="F244" s="25">
        <v>6150</v>
      </c>
      <c r="G244" s="16">
        <v>5933.73</v>
      </c>
      <c r="H244" s="61">
        <f t="shared" si="10"/>
        <v>96.48341463414634</v>
      </c>
    </row>
    <row r="245" spans="1:8" ht="12.75">
      <c r="A245" s="9"/>
      <c r="B245" s="14"/>
      <c r="C245" s="14">
        <v>4270</v>
      </c>
      <c r="D245" s="62" t="s">
        <v>42</v>
      </c>
      <c r="E245" s="25">
        <v>5000</v>
      </c>
      <c r="F245" s="25">
        <f>55000+15000</f>
        <v>70000</v>
      </c>
      <c r="G245" s="16">
        <v>69834.41</v>
      </c>
      <c r="H245" s="61">
        <f t="shared" si="10"/>
        <v>99.76344285714286</v>
      </c>
    </row>
    <row r="246" spans="1:8" ht="12.75">
      <c r="A246" s="9"/>
      <c r="B246" s="14"/>
      <c r="C246" s="14">
        <v>4280</v>
      </c>
      <c r="D246" s="62" t="s">
        <v>25</v>
      </c>
      <c r="E246" s="25">
        <v>360</v>
      </c>
      <c r="F246" s="25">
        <v>635</v>
      </c>
      <c r="G246" s="16">
        <f>635</f>
        <v>635</v>
      </c>
      <c r="H246" s="61">
        <f t="shared" si="10"/>
        <v>100</v>
      </c>
    </row>
    <row r="247" spans="1:8" ht="12.75">
      <c r="A247" s="9"/>
      <c r="B247" s="14"/>
      <c r="C247" s="14">
        <v>4300</v>
      </c>
      <c r="D247" s="62" t="s">
        <v>12</v>
      </c>
      <c r="E247" s="25">
        <v>5500</v>
      </c>
      <c r="F247" s="25">
        <v>5122</v>
      </c>
      <c r="G247" s="16">
        <v>4766.59</v>
      </c>
      <c r="H247" s="61">
        <f t="shared" si="10"/>
        <v>93.0611089418196</v>
      </c>
    </row>
    <row r="248" spans="1:8" ht="12.75">
      <c r="A248" s="9"/>
      <c r="B248" s="14"/>
      <c r="C248" s="14">
        <v>4350</v>
      </c>
      <c r="D248" s="24" t="s">
        <v>43</v>
      </c>
      <c r="E248" s="25">
        <v>0</v>
      </c>
      <c r="F248" s="25">
        <v>23</v>
      </c>
      <c r="G248" s="16">
        <v>23</v>
      </c>
      <c r="H248" s="61">
        <f t="shared" si="10"/>
        <v>100</v>
      </c>
    </row>
    <row r="249" spans="1:8" ht="38.25">
      <c r="A249" s="9"/>
      <c r="B249" s="14"/>
      <c r="C249" s="14">
        <v>4370</v>
      </c>
      <c r="D249" s="64" t="s">
        <v>44</v>
      </c>
      <c r="E249" s="25">
        <v>1600</v>
      </c>
      <c r="F249" s="25">
        <v>1600</v>
      </c>
      <c r="G249" s="16">
        <v>1381.01</v>
      </c>
      <c r="H249" s="61">
        <f t="shared" si="10"/>
        <v>86.313125</v>
      </c>
    </row>
    <row r="250" spans="1:8" ht="12.75">
      <c r="A250" s="9"/>
      <c r="B250" s="14"/>
      <c r="C250" s="14">
        <v>4410</v>
      </c>
      <c r="D250" s="62" t="s">
        <v>19</v>
      </c>
      <c r="E250" s="25">
        <v>600</v>
      </c>
      <c r="F250" s="25">
        <v>600</v>
      </c>
      <c r="G250" s="16">
        <f>563.32</f>
        <v>563.32</v>
      </c>
      <c r="H250" s="61">
        <f t="shared" si="10"/>
        <v>93.88666666666667</v>
      </c>
    </row>
    <row r="251" spans="1:8" ht="12.75">
      <c r="A251" s="9"/>
      <c r="B251" s="14"/>
      <c r="C251" s="14">
        <v>4430</v>
      </c>
      <c r="D251" s="62" t="s">
        <v>28</v>
      </c>
      <c r="E251" s="25">
        <v>250</v>
      </c>
      <c r="F251" s="25">
        <v>250</v>
      </c>
      <c r="G251" s="16">
        <v>250</v>
      </c>
      <c r="H251" s="61">
        <f t="shared" si="10"/>
        <v>100</v>
      </c>
    </row>
    <row r="252" spans="1:8" ht="25.5">
      <c r="A252" s="9"/>
      <c r="B252" s="14"/>
      <c r="C252" s="14">
        <v>4440</v>
      </c>
      <c r="D252" s="63" t="s">
        <v>21</v>
      </c>
      <c r="E252" s="25">
        <v>22753</v>
      </c>
      <c r="F252" s="16">
        <v>23622</v>
      </c>
      <c r="G252" s="16">
        <f>23622</f>
        <v>23622</v>
      </c>
      <c r="H252" s="61">
        <f t="shared" si="10"/>
        <v>100</v>
      </c>
    </row>
    <row r="253" spans="1:8" ht="38.25">
      <c r="A253" s="9"/>
      <c r="B253" s="14"/>
      <c r="C253" s="14">
        <v>4740</v>
      </c>
      <c r="D253" s="65" t="s">
        <v>30</v>
      </c>
      <c r="E253" s="16">
        <v>250</v>
      </c>
      <c r="F253" s="16">
        <v>100</v>
      </c>
      <c r="G253" s="16">
        <v>100</v>
      </c>
      <c r="H253" s="61">
        <f t="shared" si="10"/>
        <v>100</v>
      </c>
    </row>
    <row r="254" spans="1:8" ht="25.5">
      <c r="A254" s="9"/>
      <c r="B254" s="14"/>
      <c r="C254" s="14">
        <v>4750</v>
      </c>
      <c r="D254" s="63" t="s">
        <v>31</v>
      </c>
      <c r="E254" s="16">
        <v>500</v>
      </c>
      <c r="F254" s="16">
        <v>700</v>
      </c>
      <c r="G254" s="16">
        <f>533.92+152.71+13.01</f>
        <v>699.64</v>
      </c>
      <c r="H254" s="61">
        <f t="shared" si="10"/>
        <v>99.94857142857143</v>
      </c>
    </row>
    <row r="255" spans="1:8" ht="25.5">
      <c r="A255" s="9">
        <v>801</v>
      </c>
      <c r="B255" s="9">
        <v>80103</v>
      </c>
      <c r="C255" s="14"/>
      <c r="D255" s="66" t="s">
        <v>45</v>
      </c>
      <c r="E255" s="19">
        <f>SUM(E256:E262)</f>
        <v>67324</v>
      </c>
      <c r="F255" s="19">
        <f>SUM(F256:F262)</f>
        <v>64074</v>
      </c>
      <c r="G255" s="19">
        <f>SUM(G256:G262)</f>
        <v>60670.12</v>
      </c>
      <c r="H255" s="60">
        <f t="shared" si="10"/>
        <v>94.6875799856416</v>
      </c>
    </row>
    <row r="256" spans="1:8" ht="25.5">
      <c r="A256" s="9"/>
      <c r="B256" s="14"/>
      <c r="C256" s="14">
        <v>3020</v>
      </c>
      <c r="D256" s="20" t="s">
        <v>40</v>
      </c>
      <c r="E256" s="16">
        <v>5038</v>
      </c>
      <c r="F256" s="16">
        <v>5038</v>
      </c>
      <c r="G256" s="16">
        <v>4901.84</v>
      </c>
      <c r="H256" s="61">
        <f t="shared" si="10"/>
        <v>97.29734021437079</v>
      </c>
    </row>
    <row r="257" spans="1:8" ht="12.75">
      <c r="A257" s="9"/>
      <c r="B257" s="14"/>
      <c r="C257" s="14">
        <v>4010</v>
      </c>
      <c r="D257" s="62" t="s">
        <v>14</v>
      </c>
      <c r="E257" s="16">
        <v>46424</v>
      </c>
      <c r="F257" s="16">
        <v>43673</v>
      </c>
      <c r="G257" s="16">
        <v>41277.51</v>
      </c>
      <c r="H257" s="61">
        <f t="shared" si="10"/>
        <v>94.5149405811371</v>
      </c>
    </row>
    <row r="258" spans="1:8" ht="12.75">
      <c r="A258" s="9"/>
      <c r="B258" s="14"/>
      <c r="C258" s="14">
        <v>4040</v>
      </c>
      <c r="D258" s="62" t="s">
        <v>15</v>
      </c>
      <c r="E258" s="16">
        <v>3708</v>
      </c>
      <c r="F258" s="16">
        <v>3659</v>
      </c>
      <c r="G258" s="16">
        <f>3658.99</f>
        <v>3658.99</v>
      </c>
      <c r="H258" s="61">
        <f t="shared" si="10"/>
        <v>99.9997267012845</v>
      </c>
    </row>
    <row r="259" spans="1:8" ht="12.75">
      <c r="A259" s="9"/>
      <c r="B259" s="14"/>
      <c r="C259" s="14">
        <v>4110</v>
      </c>
      <c r="D259" s="62" t="s">
        <v>16</v>
      </c>
      <c r="E259" s="16">
        <v>8310</v>
      </c>
      <c r="F259" s="16">
        <v>7810</v>
      </c>
      <c r="G259" s="16">
        <v>7068.9</v>
      </c>
      <c r="H259" s="61">
        <f t="shared" si="10"/>
        <v>90.51088348271446</v>
      </c>
    </row>
    <row r="260" spans="1:8" ht="12.75">
      <c r="A260" s="9"/>
      <c r="B260" s="14"/>
      <c r="C260" s="14">
        <v>4120</v>
      </c>
      <c r="D260" s="62" t="s">
        <v>17</v>
      </c>
      <c r="E260" s="16">
        <v>1348</v>
      </c>
      <c r="F260" s="16">
        <v>1278</v>
      </c>
      <c r="G260" s="16">
        <v>1146.93</v>
      </c>
      <c r="H260" s="61">
        <f t="shared" si="10"/>
        <v>89.74413145539907</v>
      </c>
    </row>
    <row r="261" spans="1:8" ht="25.5">
      <c r="A261" s="9"/>
      <c r="B261" s="14"/>
      <c r="C261" s="14">
        <v>4240</v>
      </c>
      <c r="D261" s="63" t="s">
        <v>41</v>
      </c>
      <c r="E261" s="16">
        <v>100</v>
      </c>
      <c r="F261" s="16">
        <v>100</v>
      </c>
      <c r="G261" s="16">
        <v>99.95</v>
      </c>
      <c r="H261" s="61">
        <f t="shared" si="10"/>
        <v>99.95</v>
      </c>
    </row>
    <row r="262" spans="1:8" ht="25.5">
      <c r="A262" s="9"/>
      <c r="B262" s="14"/>
      <c r="C262" s="14">
        <v>4440</v>
      </c>
      <c r="D262" s="63" t="s">
        <v>21</v>
      </c>
      <c r="E262" s="16">
        <v>2396</v>
      </c>
      <c r="F262" s="16">
        <v>2516</v>
      </c>
      <c r="G262" s="16">
        <f>2516</f>
        <v>2516</v>
      </c>
      <c r="H262" s="61">
        <f t="shared" si="10"/>
        <v>100</v>
      </c>
    </row>
    <row r="263" spans="1:8" ht="25.5">
      <c r="A263" s="9">
        <v>801</v>
      </c>
      <c r="B263" s="9">
        <v>80146</v>
      </c>
      <c r="C263" s="14"/>
      <c r="D263" s="66" t="s">
        <v>49</v>
      </c>
      <c r="E263" s="19">
        <f>SUM(E264:E266)</f>
        <v>4000</v>
      </c>
      <c r="F263" s="19">
        <f>SUM(F264:F265)</f>
        <v>2000</v>
      </c>
      <c r="G263" s="19">
        <f>SUM(G264:G265)</f>
        <v>1999.32</v>
      </c>
      <c r="H263" s="60">
        <f t="shared" si="10"/>
        <v>99.966</v>
      </c>
    </row>
    <row r="264" spans="1:8" ht="12.75">
      <c r="A264" s="9"/>
      <c r="B264" s="9"/>
      <c r="C264" s="14">
        <v>4210</v>
      </c>
      <c r="D264" s="62" t="s">
        <v>18</v>
      </c>
      <c r="E264" s="25">
        <v>1800</v>
      </c>
      <c r="F264" s="25">
        <v>1800</v>
      </c>
      <c r="G264" s="25">
        <v>1800</v>
      </c>
      <c r="H264" s="61">
        <f t="shared" si="10"/>
        <v>100</v>
      </c>
    </row>
    <row r="265" spans="1:8" ht="12.75">
      <c r="A265" s="9"/>
      <c r="B265" s="14"/>
      <c r="C265" s="14">
        <v>4300</v>
      </c>
      <c r="D265" s="62" t="s">
        <v>12</v>
      </c>
      <c r="E265" s="25">
        <v>2000</v>
      </c>
      <c r="F265" s="25">
        <v>200</v>
      </c>
      <c r="G265" s="25">
        <v>199.32</v>
      </c>
      <c r="H265" s="61">
        <f t="shared" si="10"/>
        <v>99.66</v>
      </c>
    </row>
    <row r="266" spans="1:8" ht="12.75">
      <c r="A266" s="9"/>
      <c r="B266" s="14"/>
      <c r="C266" s="14">
        <v>4410</v>
      </c>
      <c r="D266" s="62" t="s">
        <v>19</v>
      </c>
      <c r="E266" s="25">
        <v>200</v>
      </c>
      <c r="F266" s="25">
        <v>0</v>
      </c>
      <c r="G266" s="25">
        <v>0</v>
      </c>
      <c r="H266" s="61">
        <v>0</v>
      </c>
    </row>
    <row r="267" spans="1:8" ht="12.75">
      <c r="A267" s="9">
        <v>801</v>
      </c>
      <c r="B267" s="9">
        <v>80148</v>
      </c>
      <c r="C267" s="9"/>
      <c r="D267" s="10" t="s">
        <v>50</v>
      </c>
      <c r="E267" s="19">
        <f>SUM(E268:E274)</f>
        <v>13277</v>
      </c>
      <c r="F267" s="19">
        <f>SUM(F268:F274)</f>
        <v>13277</v>
      </c>
      <c r="G267" s="19">
        <f>SUM(G268:G274)</f>
        <v>12365.25</v>
      </c>
      <c r="H267" s="60">
        <f aca="true" t="shared" si="11" ref="H267:H288">(G267/F267)*100</f>
        <v>93.13286133915794</v>
      </c>
    </row>
    <row r="268" spans="1:8" ht="12.75">
      <c r="A268" s="9"/>
      <c r="B268" s="14"/>
      <c r="C268" s="14">
        <v>4010</v>
      </c>
      <c r="D268" s="62" t="s">
        <v>14</v>
      </c>
      <c r="E268" s="25">
        <v>8240</v>
      </c>
      <c r="F268" s="25">
        <v>8286</v>
      </c>
      <c r="G268" s="16">
        <v>7748.58</v>
      </c>
      <c r="H268" s="61">
        <f t="shared" si="11"/>
        <v>93.51412020275163</v>
      </c>
    </row>
    <row r="269" spans="1:8" ht="12.75">
      <c r="A269" s="9"/>
      <c r="B269" s="67"/>
      <c r="C269" s="68">
        <v>4040</v>
      </c>
      <c r="D269" s="69" t="s">
        <v>15</v>
      </c>
      <c r="E269" s="70">
        <v>630</v>
      </c>
      <c r="F269" s="71">
        <v>610</v>
      </c>
      <c r="G269" s="16">
        <f>609.36</f>
        <v>609.36</v>
      </c>
      <c r="H269" s="61">
        <f t="shared" si="11"/>
        <v>99.89508196721312</v>
      </c>
    </row>
    <row r="270" spans="1:8" ht="12.75">
      <c r="A270" s="9"/>
      <c r="B270" s="67"/>
      <c r="C270" s="68">
        <v>4110</v>
      </c>
      <c r="D270" s="69" t="s">
        <v>16</v>
      </c>
      <c r="E270" s="70">
        <v>1340</v>
      </c>
      <c r="F270" s="71">
        <v>1340</v>
      </c>
      <c r="G270" s="16">
        <v>1185.86</v>
      </c>
      <c r="H270" s="61">
        <f t="shared" si="11"/>
        <v>88.49701492537314</v>
      </c>
    </row>
    <row r="271" spans="1:8" ht="12.75">
      <c r="A271" s="9"/>
      <c r="B271" s="67"/>
      <c r="C271" s="68">
        <v>4120</v>
      </c>
      <c r="D271" s="69" t="s">
        <v>17</v>
      </c>
      <c r="E271" s="70">
        <v>217</v>
      </c>
      <c r="F271" s="71">
        <v>217</v>
      </c>
      <c r="G271" s="16">
        <v>192.4</v>
      </c>
      <c r="H271" s="61">
        <f t="shared" si="11"/>
        <v>88.66359447004608</v>
      </c>
    </row>
    <row r="272" spans="1:8" ht="12.75">
      <c r="A272" s="9"/>
      <c r="B272" s="67"/>
      <c r="C272" s="68">
        <v>4210</v>
      </c>
      <c r="D272" s="69" t="s">
        <v>18</v>
      </c>
      <c r="E272" s="70">
        <v>500</v>
      </c>
      <c r="F272" s="71">
        <v>500</v>
      </c>
      <c r="G272" s="16">
        <f>500</f>
        <v>500</v>
      </c>
      <c r="H272" s="61">
        <f t="shared" si="11"/>
        <v>100</v>
      </c>
    </row>
    <row r="273" spans="1:8" ht="12.75">
      <c r="A273" s="9"/>
      <c r="B273" s="67"/>
      <c r="C273" s="68">
        <v>4260</v>
      </c>
      <c r="D273" s="69" t="s">
        <v>24</v>
      </c>
      <c r="E273" s="70">
        <v>1800</v>
      </c>
      <c r="F273" s="71">
        <v>1800</v>
      </c>
      <c r="G273" s="16">
        <v>1605.05</v>
      </c>
      <c r="H273" s="61">
        <f t="shared" si="11"/>
        <v>89.16944444444445</v>
      </c>
    </row>
    <row r="274" spans="1:8" ht="25.5">
      <c r="A274" s="9"/>
      <c r="B274" s="72"/>
      <c r="C274" s="73">
        <v>4440</v>
      </c>
      <c r="D274" s="74" t="s">
        <v>21</v>
      </c>
      <c r="E274" s="75">
        <v>550</v>
      </c>
      <c r="F274" s="76">
        <v>524</v>
      </c>
      <c r="G274" s="16">
        <f>524</f>
        <v>524</v>
      </c>
      <c r="H274" s="61">
        <f t="shared" si="11"/>
        <v>100</v>
      </c>
    </row>
    <row r="275" spans="1:8" ht="12.75">
      <c r="A275" s="9">
        <v>801</v>
      </c>
      <c r="B275" s="9">
        <v>80195</v>
      </c>
      <c r="C275" s="14"/>
      <c r="D275" s="10" t="s">
        <v>32</v>
      </c>
      <c r="E275" s="19">
        <f>E276</f>
        <v>2886</v>
      </c>
      <c r="F275" s="19">
        <f>SUM(F276:F276)</f>
        <v>2872</v>
      </c>
      <c r="G275" s="19">
        <f>SUM(G276:G276)</f>
        <v>2872</v>
      </c>
      <c r="H275" s="60">
        <f t="shared" si="11"/>
        <v>100</v>
      </c>
    </row>
    <row r="276" spans="1:8" ht="25.5">
      <c r="A276" s="9"/>
      <c r="B276" s="9"/>
      <c r="C276" s="14">
        <v>4440</v>
      </c>
      <c r="D276" s="63" t="s">
        <v>21</v>
      </c>
      <c r="E276" s="25">
        <v>2886</v>
      </c>
      <c r="F276" s="25">
        <v>2872</v>
      </c>
      <c r="G276" s="25">
        <v>2872</v>
      </c>
      <c r="H276" s="61">
        <f t="shared" si="11"/>
        <v>100</v>
      </c>
    </row>
    <row r="277" spans="1:8" ht="13.5">
      <c r="A277" s="9"/>
      <c r="B277" s="77"/>
      <c r="C277" s="78"/>
      <c r="D277" s="10" t="s">
        <v>33</v>
      </c>
      <c r="E277" s="19">
        <f>E275+E267+E263+E255+E235</f>
        <v>704171</v>
      </c>
      <c r="F277" s="19">
        <f>F275+F263+F255+F235+F267</f>
        <v>796102</v>
      </c>
      <c r="G277" s="19">
        <f>G275+G263+G255+G235+G267</f>
        <v>768122.73</v>
      </c>
      <c r="H277" s="60">
        <f t="shared" si="11"/>
        <v>96.48546668642962</v>
      </c>
    </row>
    <row r="278" spans="1:8" ht="12.75">
      <c r="A278" s="9">
        <v>854</v>
      </c>
      <c r="B278" s="9">
        <v>85401</v>
      </c>
      <c r="C278" s="14"/>
      <c r="D278" s="10" t="s">
        <v>57</v>
      </c>
      <c r="E278" s="19">
        <f>SUM(E279:E284)</f>
        <v>10812</v>
      </c>
      <c r="F278" s="19">
        <f>SUM(F279:F284)</f>
        <v>15912</v>
      </c>
      <c r="G278" s="19">
        <f>SUM(G279:G284)</f>
        <v>12861.47</v>
      </c>
      <c r="H278" s="60">
        <f t="shared" si="11"/>
        <v>80.82874560080442</v>
      </c>
    </row>
    <row r="279" spans="1:8" ht="25.5">
      <c r="A279" s="9"/>
      <c r="B279" s="14"/>
      <c r="C279" s="14">
        <v>3020</v>
      </c>
      <c r="D279" s="20" t="s">
        <v>40</v>
      </c>
      <c r="E279" s="25">
        <v>0</v>
      </c>
      <c r="F279" s="25">
        <v>400</v>
      </c>
      <c r="G279" s="16">
        <v>308.72</v>
      </c>
      <c r="H279" s="61">
        <f t="shared" si="11"/>
        <v>77.18</v>
      </c>
    </row>
    <row r="280" spans="1:8" ht="12.75">
      <c r="A280" s="9"/>
      <c r="B280" s="14"/>
      <c r="C280" s="14">
        <v>4010</v>
      </c>
      <c r="D280" s="62" t="s">
        <v>14</v>
      </c>
      <c r="E280" s="25">
        <v>7859</v>
      </c>
      <c r="F280" s="25">
        <v>11686</v>
      </c>
      <c r="G280" s="16">
        <v>9499.48</v>
      </c>
      <c r="H280" s="61">
        <f t="shared" si="11"/>
        <v>81.28940612698956</v>
      </c>
    </row>
    <row r="281" spans="1:8" ht="12.75">
      <c r="A281" s="9"/>
      <c r="B281" s="14"/>
      <c r="C281" s="14">
        <v>4040</v>
      </c>
      <c r="D281" s="62" t="s">
        <v>15</v>
      </c>
      <c r="E281" s="25">
        <v>913</v>
      </c>
      <c r="F281" s="25">
        <v>886</v>
      </c>
      <c r="G281" s="16">
        <f>885.52</f>
        <v>885.52</v>
      </c>
      <c r="H281" s="61">
        <f t="shared" si="11"/>
        <v>99.94582392776523</v>
      </c>
    </row>
    <row r="282" spans="1:8" ht="12.75">
      <c r="A282" s="9"/>
      <c r="B282" s="14"/>
      <c r="C282" s="14">
        <v>4110</v>
      </c>
      <c r="D282" s="62" t="s">
        <v>16</v>
      </c>
      <c r="E282" s="25">
        <v>1325</v>
      </c>
      <c r="F282" s="25">
        <v>2125</v>
      </c>
      <c r="G282" s="16">
        <v>1436.33</v>
      </c>
      <c r="H282" s="61">
        <f t="shared" si="11"/>
        <v>67.592</v>
      </c>
    </row>
    <row r="283" spans="1:8" ht="12.75">
      <c r="A283" s="9"/>
      <c r="B283" s="14"/>
      <c r="C283" s="14">
        <v>4120</v>
      </c>
      <c r="D283" s="62" t="s">
        <v>17</v>
      </c>
      <c r="E283" s="25">
        <v>215</v>
      </c>
      <c r="F283" s="25">
        <v>315</v>
      </c>
      <c r="G283" s="16">
        <v>232.41</v>
      </c>
      <c r="H283" s="61">
        <f t="shared" si="11"/>
        <v>73.78095238095239</v>
      </c>
    </row>
    <row r="284" spans="1:8" ht="12.75">
      <c r="A284" s="9"/>
      <c r="B284" s="14"/>
      <c r="C284" s="14">
        <v>4210</v>
      </c>
      <c r="D284" s="69" t="s">
        <v>18</v>
      </c>
      <c r="E284" s="25">
        <v>500</v>
      </c>
      <c r="F284" s="25">
        <v>500</v>
      </c>
      <c r="G284" s="16">
        <v>499.01</v>
      </c>
      <c r="H284" s="61">
        <f t="shared" si="11"/>
        <v>99.802</v>
      </c>
    </row>
    <row r="285" spans="1:8" ht="12.75">
      <c r="A285" s="9">
        <v>854</v>
      </c>
      <c r="B285" s="9">
        <v>85415</v>
      </c>
      <c r="C285" s="14"/>
      <c r="D285" s="10" t="s">
        <v>34</v>
      </c>
      <c r="E285" s="19">
        <f>SUM(E286)</f>
        <v>0</v>
      </c>
      <c r="F285" s="19">
        <f>SUM(F286:F286)</f>
        <v>3060</v>
      </c>
      <c r="G285" s="19">
        <f>SUM(G286:G286)</f>
        <v>3060</v>
      </c>
      <c r="H285" s="60">
        <f t="shared" si="11"/>
        <v>100</v>
      </c>
    </row>
    <row r="286" spans="1:8" ht="12.75">
      <c r="A286" s="9"/>
      <c r="B286" s="14"/>
      <c r="C286" s="14">
        <v>3260</v>
      </c>
      <c r="D286" s="62" t="s">
        <v>58</v>
      </c>
      <c r="E286" s="25">
        <v>0</v>
      </c>
      <c r="F286" s="25">
        <v>3060</v>
      </c>
      <c r="G286" s="16">
        <v>3060</v>
      </c>
      <c r="H286" s="61">
        <f t="shared" si="11"/>
        <v>100</v>
      </c>
    </row>
    <row r="287" spans="1:8" ht="12.75">
      <c r="A287" s="9"/>
      <c r="B287" s="14"/>
      <c r="C287" s="14"/>
      <c r="D287" s="10" t="s">
        <v>36</v>
      </c>
      <c r="E287" s="11">
        <f>E285+E278</f>
        <v>10812</v>
      </c>
      <c r="F287" s="11">
        <f>F285+F278</f>
        <v>18972</v>
      </c>
      <c r="G287" s="11">
        <f>G285+G278</f>
        <v>15921.47</v>
      </c>
      <c r="H287" s="60">
        <f t="shared" si="11"/>
        <v>83.9208834071263</v>
      </c>
    </row>
    <row r="288" spans="1:8" ht="12.75">
      <c r="A288" s="9"/>
      <c r="B288" s="14"/>
      <c r="C288" s="14"/>
      <c r="D288" s="10" t="s">
        <v>37</v>
      </c>
      <c r="E288" s="19">
        <f>E287+E277</f>
        <v>714983</v>
      </c>
      <c r="F288" s="19">
        <f>F287+F277</f>
        <v>815074</v>
      </c>
      <c r="G288" s="19">
        <f>G287+G277</f>
        <v>784044.2</v>
      </c>
      <c r="H288" s="60">
        <f t="shared" si="11"/>
        <v>96.19300824219641</v>
      </c>
    </row>
    <row r="291" spans="1:8" ht="15">
      <c r="A291" s="124" t="s">
        <v>0</v>
      </c>
      <c r="B291" s="124"/>
      <c r="C291" s="124"/>
      <c r="D291" s="124"/>
      <c r="E291" s="124"/>
      <c r="F291" s="124"/>
      <c r="G291" s="124"/>
      <c r="H291" s="124"/>
    </row>
    <row r="292" spans="1:8" ht="15">
      <c r="A292" s="124" t="s">
        <v>62</v>
      </c>
      <c r="B292" s="124"/>
      <c r="C292" s="124"/>
      <c r="D292" s="124"/>
      <c r="E292" s="124"/>
      <c r="F292" s="124"/>
      <c r="G292" s="124"/>
      <c r="H292" s="27"/>
    </row>
    <row r="293" spans="1:8" ht="15">
      <c r="A293" s="57"/>
      <c r="B293" s="58"/>
      <c r="C293" s="58"/>
      <c r="D293" s="58"/>
      <c r="E293" s="59"/>
      <c r="F293" s="27"/>
      <c r="G293" s="27"/>
      <c r="H293" s="27"/>
    </row>
    <row r="294" spans="1:8" ht="25.5">
      <c r="A294" s="9" t="s">
        <v>2</v>
      </c>
      <c r="B294" s="9" t="s">
        <v>3</v>
      </c>
      <c r="C294" s="9" t="s">
        <v>4</v>
      </c>
      <c r="D294" s="9" t="s">
        <v>5</v>
      </c>
      <c r="E294" s="28" t="s">
        <v>6</v>
      </c>
      <c r="F294" s="28" t="s">
        <v>7</v>
      </c>
      <c r="G294" s="28" t="s">
        <v>8</v>
      </c>
      <c r="H294" s="29" t="s">
        <v>9</v>
      </c>
    </row>
    <row r="295" spans="1:8" ht="12.75">
      <c r="A295" s="9">
        <v>801</v>
      </c>
      <c r="B295" s="9">
        <v>80101</v>
      </c>
      <c r="C295" s="14"/>
      <c r="D295" s="10" t="s">
        <v>39</v>
      </c>
      <c r="E295" s="19">
        <f>SUM(E296:E314)</f>
        <v>496395</v>
      </c>
      <c r="F295" s="19">
        <f>SUM(F296:F314)</f>
        <v>540263</v>
      </c>
      <c r="G295" s="19">
        <f>SUM(G296:G314)</f>
        <v>525921.7000000001</v>
      </c>
      <c r="H295" s="60">
        <f aca="true" t="shared" si="12" ref="H295:H304">(G295/F295)*100</f>
        <v>97.34549654520114</v>
      </c>
    </row>
    <row r="296" spans="1:8" ht="25.5">
      <c r="A296" s="9"/>
      <c r="B296" s="14"/>
      <c r="C296" s="14">
        <v>3020</v>
      </c>
      <c r="D296" s="63" t="s">
        <v>40</v>
      </c>
      <c r="E296" s="25">
        <v>33450</v>
      </c>
      <c r="F296" s="25">
        <v>38600</v>
      </c>
      <c r="G296" s="16">
        <v>37356.8</v>
      </c>
      <c r="H296" s="61">
        <f t="shared" si="12"/>
        <v>96.77927461139898</v>
      </c>
    </row>
    <row r="297" spans="1:8" ht="12.75">
      <c r="A297" s="9"/>
      <c r="B297" s="14"/>
      <c r="C297" s="14">
        <v>4010</v>
      </c>
      <c r="D297" s="62" t="s">
        <v>14</v>
      </c>
      <c r="E297" s="16">
        <v>312228</v>
      </c>
      <c r="F297" s="16">
        <v>328999</v>
      </c>
      <c r="G297" s="16">
        <v>321475.19</v>
      </c>
      <c r="H297" s="61">
        <f t="shared" si="12"/>
        <v>97.71312070857358</v>
      </c>
    </row>
    <row r="298" spans="1:8" ht="12.75">
      <c r="A298" s="9"/>
      <c r="B298" s="14"/>
      <c r="C298" s="14">
        <v>4040</v>
      </c>
      <c r="D298" s="62" t="s">
        <v>15</v>
      </c>
      <c r="E298" s="16">
        <v>26543</v>
      </c>
      <c r="F298" s="16">
        <v>25452</v>
      </c>
      <c r="G298" s="16">
        <f>25451.87</f>
        <v>25451.87</v>
      </c>
      <c r="H298" s="61">
        <f t="shared" si="12"/>
        <v>99.99948923463775</v>
      </c>
    </row>
    <row r="299" spans="1:8" ht="12.75">
      <c r="A299" s="9"/>
      <c r="B299" s="14"/>
      <c r="C299" s="14">
        <v>4110</v>
      </c>
      <c r="D299" s="62" t="s">
        <v>16</v>
      </c>
      <c r="E299" s="16">
        <v>54717</v>
      </c>
      <c r="F299" s="25">
        <v>58005</v>
      </c>
      <c r="G299" s="16">
        <v>53482.92</v>
      </c>
      <c r="H299" s="61">
        <f t="shared" si="12"/>
        <v>92.20398241530903</v>
      </c>
    </row>
    <row r="300" spans="1:8" ht="12.75">
      <c r="A300" s="9"/>
      <c r="B300" s="14"/>
      <c r="C300" s="14">
        <v>4120</v>
      </c>
      <c r="D300" s="62" t="s">
        <v>17</v>
      </c>
      <c r="E300" s="16">
        <v>8888</v>
      </c>
      <c r="F300" s="25">
        <v>9038</v>
      </c>
      <c r="G300" s="16">
        <v>8240.64</v>
      </c>
      <c r="H300" s="61">
        <f t="shared" si="12"/>
        <v>91.17769418012834</v>
      </c>
    </row>
    <row r="301" spans="1:8" ht="12.75">
      <c r="A301" s="9"/>
      <c r="B301" s="14"/>
      <c r="C301" s="14">
        <v>4170</v>
      </c>
      <c r="D301" s="62" t="s">
        <v>54</v>
      </c>
      <c r="E301" s="16">
        <v>4200</v>
      </c>
      <c r="F301" s="25">
        <v>3000</v>
      </c>
      <c r="G301" s="16">
        <v>2906</v>
      </c>
      <c r="H301" s="61">
        <f t="shared" si="12"/>
        <v>96.86666666666667</v>
      </c>
    </row>
    <row r="302" spans="1:8" ht="12.75">
      <c r="A302" s="9"/>
      <c r="B302" s="14"/>
      <c r="C302" s="14">
        <v>4210</v>
      </c>
      <c r="D302" s="62" t="s">
        <v>18</v>
      </c>
      <c r="E302" s="16">
        <v>16500</v>
      </c>
      <c r="F302" s="16">
        <v>20650</v>
      </c>
      <c r="G302" s="16">
        <v>20623.7</v>
      </c>
      <c r="H302" s="61">
        <f t="shared" si="12"/>
        <v>99.8726392251816</v>
      </c>
    </row>
    <row r="303" spans="1:8" ht="25.5">
      <c r="A303" s="9"/>
      <c r="B303" s="14"/>
      <c r="C303" s="14">
        <v>4240</v>
      </c>
      <c r="D303" s="63" t="s">
        <v>41</v>
      </c>
      <c r="E303" s="16">
        <v>1000</v>
      </c>
      <c r="F303" s="16">
        <v>22503</v>
      </c>
      <c r="G303" s="16">
        <v>22503</v>
      </c>
      <c r="H303" s="61">
        <f t="shared" si="12"/>
        <v>100</v>
      </c>
    </row>
    <row r="304" spans="1:8" ht="12.75">
      <c r="A304" s="9"/>
      <c r="B304" s="14"/>
      <c r="C304" s="14">
        <v>4260</v>
      </c>
      <c r="D304" s="62" t="s">
        <v>24</v>
      </c>
      <c r="E304" s="25">
        <v>6000</v>
      </c>
      <c r="F304" s="25">
        <v>5750</v>
      </c>
      <c r="G304" s="16">
        <v>5708.33</v>
      </c>
      <c r="H304" s="61">
        <f t="shared" si="12"/>
        <v>99.2753043478261</v>
      </c>
    </row>
    <row r="305" spans="1:8" ht="12.75">
      <c r="A305" s="9"/>
      <c r="B305" s="14"/>
      <c r="C305" s="14">
        <v>4270</v>
      </c>
      <c r="D305" s="62" t="s">
        <v>42</v>
      </c>
      <c r="E305" s="25">
        <v>4000</v>
      </c>
      <c r="F305" s="25">
        <v>0</v>
      </c>
      <c r="G305" s="16">
        <v>0</v>
      </c>
      <c r="H305" s="61">
        <v>0</v>
      </c>
    </row>
    <row r="306" spans="1:8" ht="12.75">
      <c r="A306" s="9"/>
      <c r="B306" s="14"/>
      <c r="C306" s="14">
        <v>4280</v>
      </c>
      <c r="D306" s="62" t="s">
        <v>25</v>
      </c>
      <c r="E306" s="25">
        <v>360</v>
      </c>
      <c r="F306" s="25">
        <v>530</v>
      </c>
      <c r="G306" s="16">
        <v>530</v>
      </c>
      <c r="H306" s="61">
        <f aca="true" t="shared" si="13" ref="H306:H331">(G306/F306)*100</f>
        <v>100</v>
      </c>
    </row>
    <row r="307" spans="1:8" ht="12.75">
      <c r="A307" s="9"/>
      <c r="B307" s="79"/>
      <c r="C307" s="14">
        <v>4300</v>
      </c>
      <c r="D307" s="62" t="s">
        <v>12</v>
      </c>
      <c r="E307" s="25">
        <v>4300</v>
      </c>
      <c r="F307" s="25">
        <f>3930</f>
        <v>3930</v>
      </c>
      <c r="G307" s="16">
        <f>3803.22+120</f>
        <v>3923.22</v>
      </c>
      <c r="H307" s="61">
        <f t="shared" si="13"/>
        <v>99.82748091603054</v>
      </c>
    </row>
    <row r="308" spans="1:8" ht="12.75">
      <c r="A308" s="9"/>
      <c r="B308" s="14"/>
      <c r="C308" s="14">
        <v>4350</v>
      </c>
      <c r="D308" s="62" t="s">
        <v>43</v>
      </c>
      <c r="E308" s="25">
        <v>2000</v>
      </c>
      <c r="F308" s="25">
        <v>1207</v>
      </c>
      <c r="G308" s="16">
        <v>1160.28</v>
      </c>
      <c r="H308" s="61">
        <f t="shared" si="13"/>
        <v>96.12924606462303</v>
      </c>
    </row>
    <row r="309" spans="1:8" ht="38.25">
      <c r="A309" s="9"/>
      <c r="B309" s="14"/>
      <c r="C309" s="14">
        <v>4370</v>
      </c>
      <c r="D309" s="64" t="s">
        <v>44</v>
      </c>
      <c r="E309" s="25">
        <v>1500</v>
      </c>
      <c r="F309" s="25">
        <v>1300</v>
      </c>
      <c r="G309" s="16">
        <v>1260.84</v>
      </c>
      <c r="H309" s="61">
        <f t="shared" si="13"/>
        <v>96.9876923076923</v>
      </c>
    </row>
    <row r="310" spans="1:8" ht="12.75">
      <c r="A310" s="9"/>
      <c r="B310" s="14"/>
      <c r="C310" s="14">
        <v>4410</v>
      </c>
      <c r="D310" s="62" t="s">
        <v>19</v>
      </c>
      <c r="E310" s="25">
        <v>500</v>
      </c>
      <c r="F310" s="25">
        <v>500</v>
      </c>
      <c r="G310" s="16">
        <f>500</f>
        <v>500</v>
      </c>
      <c r="H310" s="61">
        <f t="shared" si="13"/>
        <v>100</v>
      </c>
    </row>
    <row r="311" spans="1:8" ht="12.75">
      <c r="A311" s="9"/>
      <c r="B311" s="14"/>
      <c r="C311" s="14">
        <v>4430</v>
      </c>
      <c r="D311" s="62" t="s">
        <v>28</v>
      </c>
      <c r="E311" s="25">
        <v>200</v>
      </c>
      <c r="F311" s="25">
        <v>193</v>
      </c>
      <c r="G311" s="16">
        <f>193</f>
        <v>193</v>
      </c>
      <c r="H311" s="61">
        <f t="shared" si="13"/>
        <v>100</v>
      </c>
    </row>
    <row r="312" spans="1:8" ht="25.5">
      <c r="A312" s="9"/>
      <c r="B312" s="14"/>
      <c r="C312" s="14">
        <v>4440</v>
      </c>
      <c r="D312" s="63" t="s">
        <v>21</v>
      </c>
      <c r="E312" s="25">
        <v>19209</v>
      </c>
      <c r="F312" s="16">
        <v>19956</v>
      </c>
      <c r="G312" s="16">
        <f>19956</f>
        <v>19956</v>
      </c>
      <c r="H312" s="61">
        <f t="shared" si="13"/>
        <v>100</v>
      </c>
    </row>
    <row r="313" spans="1:8" ht="38.25">
      <c r="A313" s="9"/>
      <c r="B313" s="14"/>
      <c r="C313" s="14">
        <v>4740</v>
      </c>
      <c r="D313" s="65" t="s">
        <v>30</v>
      </c>
      <c r="E313" s="16">
        <v>300</v>
      </c>
      <c r="F313" s="16">
        <v>300</v>
      </c>
      <c r="G313" s="16">
        <f>254.92+44.99</f>
        <v>299.90999999999997</v>
      </c>
      <c r="H313" s="61">
        <f t="shared" si="13"/>
        <v>99.97</v>
      </c>
    </row>
    <row r="314" spans="1:8" ht="25.5">
      <c r="A314" s="9"/>
      <c r="B314" s="14"/>
      <c r="C314" s="14">
        <v>4750</v>
      </c>
      <c r="D314" s="63" t="s">
        <v>31</v>
      </c>
      <c r="E314" s="16">
        <v>500</v>
      </c>
      <c r="F314" s="16">
        <v>350</v>
      </c>
      <c r="G314" s="16">
        <v>350</v>
      </c>
      <c r="H314" s="61">
        <f t="shared" si="13"/>
        <v>100</v>
      </c>
    </row>
    <row r="315" spans="1:8" ht="25.5">
      <c r="A315" s="9">
        <v>801</v>
      </c>
      <c r="B315" s="9">
        <v>80103</v>
      </c>
      <c r="C315" s="14"/>
      <c r="D315" s="66" t="s">
        <v>45</v>
      </c>
      <c r="E315" s="19">
        <f>SUM(E316:E322)</f>
        <v>58711</v>
      </c>
      <c r="F315" s="19">
        <f>SUM(F316:F322)</f>
        <v>60783</v>
      </c>
      <c r="G315" s="19">
        <f>SUM(G316:G322)</f>
        <v>57614.48</v>
      </c>
      <c r="H315" s="60">
        <f t="shared" si="13"/>
        <v>94.78716088379974</v>
      </c>
    </row>
    <row r="316" spans="1:8" ht="25.5">
      <c r="A316" s="9"/>
      <c r="B316" s="14"/>
      <c r="C316" s="14">
        <v>3020</v>
      </c>
      <c r="D316" s="63" t="s">
        <v>40</v>
      </c>
      <c r="E316" s="16">
        <v>5306</v>
      </c>
      <c r="F316" s="16">
        <v>5306</v>
      </c>
      <c r="G316" s="16">
        <v>4887.71</v>
      </c>
      <c r="H316" s="61">
        <f t="shared" si="13"/>
        <v>92.11666038447042</v>
      </c>
    </row>
    <row r="317" spans="1:8" ht="12.75">
      <c r="A317" s="9"/>
      <c r="B317" s="14"/>
      <c r="C317" s="14">
        <v>4010</v>
      </c>
      <c r="D317" s="62" t="s">
        <v>14</v>
      </c>
      <c r="E317" s="16">
        <v>39120</v>
      </c>
      <c r="F317" s="16">
        <v>41184</v>
      </c>
      <c r="G317" s="16">
        <v>39323.06</v>
      </c>
      <c r="H317" s="61">
        <f t="shared" si="13"/>
        <v>95.48140054390053</v>
      </c>
    </row>
    <row r="318" spans="1:8" ht="12.75">
      <c r="A318" s="9"/>
      <c r="B318" s="14"/>
      <c r="C318" s="14">
        <v>4040</v>
      </c>
      <c r="D318" s="62" t="s">
        <v>15</v>
      </c>
      <c r="E318" s="16">
        <v>3072</v>
      </c>
      <c r="F318" s="16">
        <v>3008</v>
      </c>
      <c r="G318" s="16">
        <f>3007.73</f>
        <v>3007.73</v>
      </c>
      <c r="H318" s="61">
        <f t="shared" si="13"/>
        <v>99.99102393617021</v>
      </c>
    </row>
    <row r="319" spans="1:8" ht="12.75">
      <c r="A319" s="9"/>
      <c r="B319" s="14"/>
      <c r="C319" s="14">
        <v>4110</v>
      </c>
      <c r="D319" s="62" t="s">
        <v>16</v>
      </c>
      <c r="E319" s="16">
        <v>7500</v>
      </c>
      <c r="F319" s="16">
        <v>7500</v>
      </c>
      <c r="G319" s="16">
        <v>6735.19</v>
      </c>
      <c r="H319" s="61">
        <f t="shared" si="13"/>
        <v>89.80253333333333</v>
      </c>
    </row>
    <row r="320" spans="1:8" ht="12.75">
      <c r="A320" s="9"/>
      <c r="B320" s="14"/>
      <c r="C320" s="14">
        <v>4120</v>
      </c>
      <c r="D320" s="62" t="s">
        <v>17</v>
      </c>
      <c r="E320" s="16">
        <v>1217</v>
      </c>
      <c r="F320" s="16">
        <v>1217</v>
      </c>
      <c r="G320" s="16">
        <v>1092.81</v>
      </c>
      <c r="H320" s="61">
        <f t="shared" si="13"/>
        <v>89.79539852095316</v>
      </c>
    </row>
    <row r="321" spans="1:8" ht="25.5">
      <c r="A321" s="9"/>
      <c r="B321" s="14"/>
      <c r="C321" s="14">
        <v>4240</v>
      </c>
      <c r="D321" s="63" t="s">
        <v>41</v>
      </c>
      <c r="E321" s="16">
        <v>100</v>
      </c>
      <c r="F321" s="16">
        <v>52</v>
      </c>
      <c r="G321" s="16">
        <f>51.98</f>
        <v>51.98</v>
      </c>
      <c r="H321" s="61">
        <f t="shared" si="13"/>
        <v>99.96153846153845</v>
      </c>
    </row>
    <row r="322" spans="1:8" ht="25.5">
      <c r="A322" s="9"/>
      <c r="B322" s="14"/>
      <c r="C322" s="14">
        <v>4440</v>
      </c>
      <c r="D322" s="63" t="s">
        <v>21</v>
      </c>
      <c r="E322" s="16">
        <v>2396</v>
      </c>
      <c r="F322" s="16">
        <v>2516</v>
      </c>
      <c r="G322" s="16">
        <f>2516</f>
        <v>2516</v>
      </c>
      <c r="H322" s="61">
        <f t="shared" si="13"/>
        <v>100</v>
      </c>
    </row>
    <row r="323" spans="1:8" ht="25.5">
      <c r="A323" s="9">
        <v>801</v>
      </c>
      <c r="B323" s="9">
        <v>80146</v>
      </c>
      <c r="C323" s="14"/>
      <c r="D323" s="66" t="s">
        <v>49</v>
      </c>
      <c r="E323" s="19">
        <f>SUM(E324:E326)</f>
        <v>2680</v>
      </c>
      <c r="F323" s="19">
        <f>SUM(F324:F326)</f>
        <v>2340</v>
      </c>
      <c r="G323" s="19">
        <f>SUM(G324:G326)</f>
        <v>2333.8</v>
      </c>
      <c r="H323" s="60">
        <f t="shared" si="13"/>
        <v>99.73504273504274</v>
      </c>
    </row>
    <row r="324" spans="1:8" ht="12.75">
      <c r="A324" s="9"/>
      <c r="B324" s="9"/>
      <c r="C324" s="14">
        <v>4210</v>
      </c>
      <c r="D324" s="62" t="s">
        <v>18</v>
      </c>
      <c r="E324" s="25">
        <v>500</v>
      </c>
      <c r="F324" s="25">
        <v>100</v>
      </c>
      <c r="G324" s="25">
        <f>95</f>
        <v>95</v>
      </c>
      <c r="H324" s="61">
        <f t="shared" si="13"/>
        <v>95</v>
      </c>
    </row>
    <row r="325" spans="1:8" ht="12.75">
      <c r="A325" s="9"/>
      <c r="B325" s="14"/>
      <c r="C325" s="14">
        <v>4300</v>
      </c>
      <c r="D325" s="62" t="s">
        <v>12</v>
      </c>
      <c r="E325" s="25">
        <v>1680</v>
      </c>
      <c r="F325" s="25">
        <v>1440</v>
      </c>
      <c r="G325" s="25">
        <f>1439</f>
        <v>1439</v>
      </c>
      <c r="H325" s="61">
        <f t="shared" si="13"/>
        <v>99.93055555555556</v>
      </c>
    </row>
    <row r="326" spans="1:8" ht="12.75">
      <c r="A326" s="9"/>
      <c r="B326" s="14"/>
      <c r="C326" s="14">
        <v>4410</v>
      </c>
      <c r="D326" s="62" t="s">
        <v>19</v>
      </c>
      <c r="E326" s="25">
        <v>500</v>
      </c>
      <c r="F326" s="25">
        <v>800</v>
      </c>
      <c r="G326" s="25">
        <f>799.8</f>
        <v>799.8</v>
      </c>
      <c r="H326" s="61">
        <f t="shared" si="13"/>
        <v>99.975</v>
      </c>
    </row>
    <row r="327" spans="1:8" ht="12.75">
      <c r="A327" s="9">
        <v>801</v>
      </c>
      <c r="B327" s="9">
        <v>80195</v>
      </c>
      <c r="C327" s="14"/>
      <c r="D327" s="10" t="s">
        <v>32</v>
      </c>
      <c r="E327" s="19">
        <f>SUM(E328)</f>
        <v>2886</v>
      </c>
      <c r="F327" s="19">
        <f>SUM(F328:F328)</f>
        <v>2871</v>
      </c>
      <c r="G327" s="19">
        <f>SUM(G328:G328)</f>
        <v>2871</v>
      </c>
      <c r="H327" s="60">
        <f t="shared" si="13"/>
        <v>100</v>
      </c>
    </row>
    <row r="328" spans="1:8" ht="25.5">
      <c r="A328" s="9"/>
      <c r="B328" s="9"/>
      <c r="C328" s="14">
        <v>4440</v>
      </c>
      <c r="D328" s="63" t="s">
        <v>21</v>
      </c>
      <c r="E328" s="25">
        <v>2886</v>
      </c>
      <c r="F328" s="25">
        <v>2871</v>
      </c>
      <c r="G328" s="25">
        <v>2871</v>
      </c>
      <c r="H328" s="61">
        <f t="shared" si="13"/>
        <v>100</v>
      </c>
    </row>
    <row r="329" spans="1:8" ht="13.5">
      <c r="A329" s="9"/>
      <c r="B329" s="77"/>
      <c r="C329" s="78"/>
      <c r="D329" s="10" t="s">
        <v>33</v>
      </c>
      <c r="E329" s="19">
        <f>E327+E323+E315+E295</f>
        <v>560672</v>
      </c>
      <c r="F329" s="19">
        <f>F327+F323+F315+F295</f>
        <v>606257</v>
      </c>
      <c r="G329" s="19">
        <f>G327+G323+G315+G295</f>
        <v>588740.9800000001</v>
      </c>
      <c r="H329" s="60">
        <f t="shared" si="13"/>
        <v>97.11079294754536</v>
      </c>
    </row>
    <row r="330" spans="1:8" ht="12.75">
      <c r="A330" s="9">
        <v>852</v>
      </c>
      <c r="B330" s="80">
        <v>85295</v>
      </c>
      <c r="C330" s="9"/>
      <c r="D330" s="66" t="s">
        <v>32</v>
      </c>
      <c r="E330" s="11">
        <f>SUM(E331:E335)</f>
        <v>2000</v>
      </c>
      <c r="F330" s="11">
        <f>SUM(F331:F335)</f>
        <v>2000.08</v>
      </c>
      <c r="G330" s="11">
        <f>SUM(G331:G335)</f>
        <v>2000.08</v>
      </c>
      <c r="H330" s="60">
        <f t="shared" si="13"/>
        <v>100</v>
      </c>
    </row>
    <row r="331" spans="1:8" ht="12.75">
      <c r="A331" s="9"/>
      <c r="B331" s="81"/>
      <c r="C331" s="14">
        <v>4113</v>
      </c>
      <c r="D331" s="63" t="s">
        <v>51</v>
      </c>
      <c r="E331" s="16">
        <v>227</v>
      </c>
      <c r="F331" s="16">
        <v>4</v>
      </c>
      <c r="G331" s="16">
        <f>F331</f>
        <v>4</v>
      </c>
      <c r="H331" s="61">
        <f t="shared" si="13"/>
        <v>100</v>
      </c>
    </row>
    <row r="332" spans="1:8" ht="12.75">
      <c r="A332" s="9"/>
      <c r="B332" s="81"/>
      <c r="C332" s="14">
        <v>4123</v>
      </c>
      <c r="D332" s="62" t="s">
        <v>17</v>
      </c>
      <c r="E332" s="16">
        <v>37</v>
      </c>
      <c r="F332" s="16">
        <v>0</v>
      </c>
      <c r="G332" s="16">
        <v>0</v>
      </c>
      <c r="H332" s="61">
        <v>0</v>
      </c>
    </row>
    <row r="333" spans="1:8" ht="12.75">
      <c r="A333" s="9"/>
      <c r="B333" s="81" t="s">
        <v>53</v>
      </c>
      <c r="C333" s="81">
        <v>4173</v>
      </c>
      <c r="D333" s="62" t="s">
        <v>54</v>
      </c>
      <c r="E333" s="16">
        <v>1500</v>
      </c>
      <c r="F333" s="16">
        <v>500</v>
      </c>
      <c r="G333" s="16">
        <f>F333</f>
        <v>500</v>
      </c>
      <c r="H333" s="61">
        <f aca="true" t="shared" si="14" ref="H333:H340">(G333/F333)*100</f>
        <v>100</v>
      </c>
    </row>
    <row r="334" spans="1:8" ht="12.75">
      <c r="A334" s="9"/>
      <c r="B334" s="81"/>
      <c r="C334" s="81">
        <v>4213</v>
      </c>
      <c r="D334" s="62" t="s">
        <v>18</v>
      </c>
      <c r="E334" s="16">
        <v>236</v>
      </c>
      <c r="F334" s="16">
        <v>200.08</v>
      </c>
      <c r="G334" s="16">
        <f>F334</f>
        <v>200.08</v>
      </c>
      <c r="H334" s="61">
        <f t="shared" si="14"/>
        <v>100</v>
      </c>
    </row>
    <row r="335" spans="1:8" ht="12.75">
      <c r="A335" s="9"/>
      <c r="B335" s="81"/>
      <c r="C335" s="81">
        <v>4303</v>
      </c>
      <c r="D335" s="82" t="s">
        <v>55</v>
      </c>
      <c r="E335" s="16">
        <v>0</v>
      </c>
      <c r="F335" s="16">
        <v>1296</v>
      </c>
      <c r="G335" s="16">
        <f>F335</f>
        <v>1296</v>
      </c>
      <c r="H335" s="61">
        <f t="shared" si="14"/>
        <v>100</v>
      </c>
    </row>
    <row r="336" spans="1:8" ht="12.75">
      <c r="A336" s="9"/>
      <c r="B336" s="14"/>
      <c r="C336" s="14"/>
      <c r="D336" s="10" t="s">
        <v>56</v>
      </c>
      <c r="E336" s="11">
        <f>E330</f>
        <v>2000</v>
      </c>
      <c r="F336" s="11">
        <f>F330</f>
        <v>2000.08</v>
      </c>
      <c r="G336" s="11">
        <f>G330</f>
        <v>2000.08</v>
      </c>
      <c r="H336" s="60">
        <f t="shared" si="14"/>
        <v>100</v>
      </c>
    </row>
    <row r="337" spans="1:8" ht="12.75">
      <c r="A337" s="9">
        <v>854</v>
      </c>
      <c r="B337" s="9">
        <v>85415</v>
      </c>
      <c r="C337" s="14"/>
      <c r="D337" s="10" t="s">
        <v>34</v>
      </c>
      <c r="E337" s="19">
        <f>E338</f>
        <v>0</v>
      </c>
      <c r="F337" s="19">
        <f>SUM(F338:F338)</f>
        <v>1730</v>
      </c>
      <c r="G337" s="19">
        <f>SUM(G338:G338)</f>
        <v>1730</v>
      </c>
      <c r="H337" s="60">
        <f t="shared" si="14"/>
        <v>100</v>
      </c>
    </row>
    <row r="338" spans="1:8" ht="12.75">
      <c r="A338" s="9"/>
      <c r="B338" s="14"/>
      <c r="C338" s="14">
        <v>3260</v>
      </c>
      <c r="D338" s="62" t="s">
        <v>58</v>
      </c>
      <c r="E338" s="25">
        <v>0</v>
      </c>
      <c r="F338" s="25">
        <v>1730</v>
      </c>
      <c r="G338" s="16">
        <v>1730</v>
      </c>
      <c r="H338" s="61">
        <f t="shared" si="14"/>
        <v>100</v>
      </c>
    </row>
    <row r="339" spans="1:8" ht="12.75">
      <c r="A339" s="9"/>
      <c r="B339" s="14"/>
      <c r="C339" s="14"/>
      <c r="D339" s="10" t="s">
        <v>36</v>
      </c>
      <c r="E339" s="11">
        <f>E337</f>
        <v>0</v>
      </c>
      <c r="F339" s="11">
        <f>F337</f>
        <v>1730</v>
      </c>
      <c r="G339" s="11">
        <f>G337</f>
        <v>1730</v>
      </c>
      <c r="H339" s="60">
        <f t="shared" si="14"/>
        <v>100</v>
      </c>
    </row>
    <row r="340" spans="1:8" ht="12.75">
      <c r="A340" s="9"/>
      <c r="B340" s="14"/>
      <c r="C340" s="14"/>
      <c r="D340" s="10" t="s">
        <v>37</v>
      </c>
      <c r="E340" s="19">
        <f>E339+E336+E329</f>
        <v>562672</v>
      </c>
      <c r="F340" s="19">
        <f>F339+F329+F336</f>
        <v>609987.08</v>
      </c>
      <c r="G340" s="19">
        <f>G339+G329+G336</f>
        <v>592471.06</v>
      </c>
      <c r="H340" s="60">
        <f t="shared" si="14"/>
        <v>97.12846049132715</v>
      </c>
    </row>
    <row r="344" spans="1:8" ht="15">
      <c r="A344" s="124" t="s">
        <v>0</v>
      </c>
      <c r="B344" s="124"/>
      <c r="C344" s="124"/>
      <c r="D344" s="124"/>
      <c r="E344" s="124"/>
      <c r="F344" s="124"/>
      <c r="G344" s="124"/>
      <c r="H344" s="124"/>
    </row>
    <row r="345" spans="1:8" ht="15">
      <c r="A345" s="124" t="s">
        <v>63</v>
      </c>
      <c r="B345" s="124"/>
      <c r="C345" s="124"/>
      <c r="D345" s="124"/>
      <c r="E345" s="124"/>
      <c r="F345" s="124"/>
      <c r="G345" s="124"/>
      <c r="H345" s="27"/>
    </row>
    <row r="346" spans="1:8" ht="15">
      <c r="A346" s="57"/>
      <c r="B346" s="58"/>
      <c r="C346" s="58"/>
      <c r="D346" s="58"/>
      <c r="E346" s="59"/>
      <c r="F346" s="27"/>
      <c r="G346" s="27"/>
      <c r="H346" s="27"/>
    </row>
    <row r="347" spans="1:8" ht="25.5">
      <c r="A347" s="9" t="s">
        <v>2</v>
      </c>
      <c r="B347" s="9" t="s">
        <v>3</v>
      </c>
      <c r="C347" s="9" t="s">
        <v>4</v>
      </c>
      <c r="D347" s="9" t="s">
        <v>5</v>
      </c>
      <c r="E347" s="28" t="s">
        <v>6</v>
      </c>
      <c r="F347" s="28" t="s">
        <v>7</v>
      </c>
      <c r="G347" s="28" t="s">
        <v>8</v>
      </c>
      <c r="H347" s="29" t="s">
        <v>9</v>
      </c>
    </row>
    <row r="348" spans="1:8" ht="12.75">
      <c r="A348" s="9">
        <v>801</v>
      </c>
      <c r="B348" s="9">
        <v>80101</v>
      </c>
      <c r="C348" s="14"/>
      <c r="D348" s="10" t="s">
        <v>39</v>
      </c>
      <c r="E348" s="19">
        <f>SUM(E349:E367)</f>
        <v>433466</v>
      </c>
      <c r="F348" s="19">
        <f>SUM(F349:F367)</f>
        <v>359526</v>
      </c>
      <c r="G348" s="19">
        <f>SUM(G349:G367)</f>
        <v>359520.44999999995</v>
      </c>
      <c r="H348" s="60">
        <f aca="true" t="shared" si="15" ref="H348:H357">(G348/F348)*100</f>
        <v>99.99845630079604</v>
      </c>
    </row>
    <row r="349" spans="1:8" ht="25.5">
      <c r="A349" s="9"/>
      <c r="B349" s="14"/>
      <c r="C349" s="14">
        <v>3020</v>
      </c>
      <c r="D349" s="63" t="s">
        <v>40</v>
      </c>
      <c r="E349" s="25">
        <v>28209</v>
      </c>
      <c r="F349" s="25">
        <v>41807</v>
      </c>
      <c r="G349" s="16">
        <v>41806.04</v>
      </c>
      <c r="H349" s="61">
        <f t="shared" si="15"/>
        <v>99.99770373382448</v>
      </c>
    </row>
    <row r="350" spans="1:8" ht="12.75">
      <c r="A350" s="9"/>
      <c r="B350" s="14"/>
      <c r="C350" s="14">
        <v>4010</v>
      </c>
      <c r="D350" s="62" t="s">
        <v>14</v>
      </c>
      <c r="E350" s="16">
        <v>271292</v>
      </c>
      <c r="F350" s="16">
        <v>204751</v>
      </c>
      <c r="G350" s="16">
        <v>204750.02</v>
      </c>
      <c r="H350" s="61">
        <f t="shared" si="15"/>
        <v>99.999521369859</v>
      </c>
    </row>
    <row r="351" spans="1:8" ht="12.75">
      <c r="A351" s="9"/>
      <c r="B351" s="14"/>
      <c r="C351" s="14">
        <v>4040</v>
      </c>
      <c r="D351" s="62" t="s">
        <v>15</v>
      </c>
      <c r="E351" s="16">
        <v>23127</v>
      </c>
      <c r="F351" s="16">
        <v>36432</v>
      </c>
      <c r="G351" s="16">
        <v>36431.7</v>
      </c>
      <c r="H351" s="61">
        <f t="shared" si="15"/>
        <v>99.99917654808958</v>
      </c>
    </row>
    <row r="352" spans="1:8" ht="12.75">
      <c r="A352" s="9"/>
      <c r="B352" s="14"/>
      <c r="C352" s="14">
        <v>4110</v>
      </c>
      <c r="D352" s="62" t="s">
        <v>16</v>
      </c>
      <c r="E352" s="16">
        <v>48476</v>
      </c>
      <c r="F352" s="25">
        <v>33527</v>
      </c>
      <c r="G352" s="16">
        <v>33526.59</v>
      </c>
      <c r="H352" s="61">
        <f t="shared" si="15"/>
        <v>99.99877710501983</v>
      </c>
    </row>
    <row r="353" spans="1:8" ht="12.75">
      <c r="A353" s="9"/>
      <c r="B353" s="14"/>
      <c r="C353" s="14">
        <v>4120</v>
      </c>
      <c r="D353" s="62" t="s">
        <v>17</v>
      </c>
      <c r="E353" s="16">
        <v>7732</v>
      </c>
      <c r="F353" s="25">
        <v>5253</v>
      </c>
      <c r="G353" s="16">
        <v>5252.64</v>
      </c>
      <c r="H353" s="61">
        <f t="shared" si="15"/>
        <v>99.99314677327243</v>
      </c>
    </row>
    <row r="354" spans="1:8" ht="12.75">
      <c r="A354" s="9"/>
      <c r="B354" s="14"/>
      <c r="C354" s="14">
        <v>4170</v>
      </c>
      <c r="D354" s="62" t="s">
        <v>54</v>
      </c>
      <c r="E354" s="16">
        <v>4200</v>
      </c>
      <c r="F354" s="25">
        <v>1800</v>
      </c>
      <c r="G354" s="16">
        <v>1800</v>
      </c>
      <c r="H354" s="61">
        <f t="shared" si="15"/>
        <v>100</v>
      </c>
    </row>
    <row r="355" spans="1:8" ht="12.75">
      <c r="A355" s="9"/>
      <c r="B355" s="14"/>
      <c r="C355" s="14">
        <v>4210</v>
      </c>
      <c r="D355" s="62" t="s">
        <v>18</v>
      </c>
      <c r="E355" s="16">
        <v>16500</v>
      </c>
      <c r="F355" s="16">
        <v>15574</v>
      </c>
      <c r="G355" s="16">
        <v>15574.04</v>
      </c>
      <c r="H355" s="61">
        <f t="shared" si="15"/>
        <v>100.00025683832028</v>
      </c>
    </row>
    <row r="356" spans="1:8" ht="25.5">
      <c r="A356" s="9"/>
      <c r="B356" s="14"/>
      <c r="C356" s="14">
        <v>4240</v>
      </c>
      <c r="D356" s="63" t="s">
        <v>41</v>
      </c>
      <c r="E356" s="16">
        <v>1000</v>
      </c>
      <c r="F356" s="16">
        <v>250</v>
      </c>
      <c r="G356" s="16">
        <v>249.99</v>
      </c>
      <c r="H356" s="61">
        <f t="shared" si="15"/>
        <v>99.99600000000001</v>
      </c>
    </row>
    <row r="357" spans="1:8" ht="12.75">
      <c r="A357" s="9"/>
      <c r="B357" s="14"/>
      <c r="C357" s="14">
        <v>4260</v>
      </c>
      <c r="D357" s="62" t="s">
        <v>24</v>
      </c>
      <c r="E357" s="25">
        <v>4800</v>
      </c>
      <c r="F357" s="25">
        <v>2430</v>
      </c>
      <c r="G357" s="16">
        <v>2429.21</v>
      </c>
      <c r="H357" s="61">
        <f t="shared" si="15"/>
        <v>99.96748971193415</v>
      </c>
    </row>
    <row r="358" spans="1:8" ht="12.75">
      <c r="A358" s="9"/>
      <c r="B358" s="14"/>
      <c r="C358" s="14">
        <v>4270</v>
      </c>
      <c r="D358" s="62" t="s">
        <v>42</v>
      </c>
      <c r="E358" s="25">
        <v>2000</v>
      </c>
      <c r="F358" s="25">
        <v>2000</v>
      </c>
      <c r="G358" s="16">
        <v>2000</v>
      </c>
      <c r="H358" s="61">
        <v>0</v>
      </c>
    </row>
    <row r="359" spans="1:8" ht="12.75">
      <c r="A359" s="9"/>
      <c r="B359" s="14"/>
      <c r="C359" s="14">
        <v>4280</v>
      </c>
      <c r="D359" s="62" t="s">
        <v>25</v>
      </c>
      <c r="E359" s="25">
        <v>300</v>
      </c>
      <c r="F359" s="25">
        <v>0</v>
      </c>
      <c r="G359" s="16">
        <v>0</v>
      </c>
      <c r="H359" s="61">
        <v>0</v>
      </c>
    </row>
    <row r="360" spans="1:8" ht="12.75">
      <c r="A360" s="9"/>
      <c r="B360" s="79"/>
      <c r="C360" s="14">
        <v>4300</v>
      </c>
      <c r="D360" s="62" t="s">
        <v>12</v>
      </c>
      <c r="E360" s="25">
        <v>4600</v>
      </c>
      <c r="F360" s="25">
        <v>1948</v>
      </c>
      <c r="G360" s="16">
        <v>1947.22</v>
      </c>
      <c r="H360" s="61">
        <f aca="true" t="shared" si="16" ref="H360:H373">(G360/F360)*100</f>
        <v>99.9599589322382</v>
      </c>
    </row>
    <row r="361" spans="1:8" ht="12.75">
      <c r="A361" s="9"/>
      <c r="B361" s="14"/>
      <c r="C361" s="14">
        <v>4350</v>
      </c>
      <c r="D361" s="62" t="s">
        <v>43</v>
      </c>
      <c r="E361" s="25">
        <v>1500</v>
      </c>
      <c r="F361" s="25">
        <v>693</v>
      </c>
      <c r="G361" s="16">
        <v>693</v>
      </c>
      <c r="H361" s="61">
        <f t="shared" si="16"/>
        <v>100</v>
      </c>
    </row>
    <row r="362" spans="1:8" ht="38.25">
      <c r="A362" s="9"/>
      <c r="B362" s="14"/>
      <c r="C362" s="14">
        <v>4370</v>
      </c>
      <c r="D362" s="64" t="s">
        <v>44</v>
      </c>
      <c r="E362" s="25">
        <v>1200</v>
      </c>
      <c r="F362" s="25">
        <v>714</v>
      </c>
      <c r="G362" s="16">
        <v>713.58</v>
      </c>
      <c r="H362" s="61">
        <f t="shared" si="16"/>
        <v>99.94117647058825</v>
      </c>
    </row>
    <row r="363" spans="1:8" ht="12.75">
      <c r="A363" s="9"/>
      <c r="B363" s="14"/>
      <c r="C363" s="14">
        <v>4410</v>
      </c>
      <c r="D363" s="62" t="s">
        <v>19</v>
      </c>
      <c r="E363" s="25">
        <v>600</v>
      </c>
      <c r="F363" s="25">
        <v>151</v>
      </c>
      <c r="G363" s="16">
        <v>150.44</v>
      </c>
      <c r="H363" s="61">
        <f t="shared" si="16"/>
        <v>99.62913907284768</v>
      </c>
    </row>
    <row r="364" spans="1:8" ht="12.75">
      <c r="A364" s="9"/>
      <c r="B364" s="14"/>
      <c r="C364" s="14">
        <v>4430</v>
      </c>
      <c r="D364" s="62" t="s">
        <v>28</v>
      </c>
      <c r="E364" s="25">
        <v>200</v>
      </c>
      <c r="F364" s="25">
        <v>133</v>
      </c>
      <c r="G364" s="16">
        <v>133</v>
      </c>
      <c r="H364" s="61">
        <f t="shared" si="16"/>
        <v>100</v>
      </c>
    </row>
    <row r="365" spans="1:8" ht="25.5">
      <c r="A365" s="9"/>
      <c r="B365" s="14"/>
      <c r="C365" s="14">
        <v>4440</v>
      </c>
      <c r="D365" s="63" t="s">
        <v>21</v>
      </c>
      <c r="E365" s="25">
        <v>16980</v>
      </c>
      <c r="F365" s="16">
        <v>11743</v>
      </c>
      <c r="G365" s="16">
        <v>11743</v>
      </c>
      <c r="H365" s="61">
        <f t="shared" si="16"/>
        <v>100</v>
      </c>
    </row>
    <row r="366" spans="1:8" ht="38.25">
      <c r="A366" s="9"/>
      <c r="B366" s="14"/>
      <c r="C366" s="14">
        <v>4740</v>
      </c>
      <c r="D366" s="65" t="s">
        <v>30</v>
      </c>
      <c r="E366" s="16">
        <v>250</v>
      </c>
      <c r="F366" s="16">
        <v>215</v>
      </c>
      <c r="G366" s="16">
        <v>214.98</v>
      </c>
      <c r="H366" s="61">
        <f t="shared" si="16"/>
        <v>99.9906976744186</v>
      </c>
    </row>
    <row r="367" spans="1:8" ht="25.5">
      <c r="A367" s="9"/>
      <c r="B367" s="14"/>
      <c r="C367" s="14">
        <v>4750</v>
      </c>
      <c r="D367" s="63" t="s">
        <v>31</v>
      </c>
      <c r="E367" s="16">
        <v>500</v>
      </c>
      <c r="F367" s="16">
        <v>105</v>
      </c>
      <c r="G367" s="16">
        <v>105</v>
      </c>
      <c r="H367" s="61">
        <f t="shared" si="16"/>
        <v>100</v>
      </c>
    </row>
    <row r="368" spans="1:8" ht="25.5">
      <c r="A368" s="9">
        <v>801</v>
      </c>
      <c r="B368" s="9">
        <v>80103</v>
      </c>
      <c r="C368" s="14"/>
      <c r="D368" s="66" t="s">
        <v>45</v>
      </c>
      <c r="E368" s="19">
        <f>SUM(E369:E375)</f>
        <v>54365</v>
      </c>
      <c r="F368" s="19">
        <f>SUM(F369:F375)</f>
        <v>53265</v>
      </c>
      <c r="G368" s="19">
        <f>SUM(G369:G375)</f>
        <v>53262.2</v>
      </c>
      <c r="H368" s="60">
        <f t="shared" si="16"/>
        <v>99.99474326480802</v>
      </c>
    </row>
    <row r="369" spans="1:8" ht="25.5">
      <c r="A369" s="9"/>
      <c r="B369" s="14"/>
      <c r="C369" s="14">
        <v>3020</v>
      </c>
      <c r="D369" s="63" t="s">
        <v>40</v>
      </c>
      <c r="E369" s="16">
        <v>4736</v>
      </c>
      <c r="F369" s="16">
        <v>16538</v>
      </c>
      <c r="G369" s="16">
        <v>16537.16</v>
      </c>
      <c r="H369" s="61">
        <f t="shared" si="16"/>
        <v>99.99492078848712</v>
      </c>
    </row>
    <row r="370" spans="1:8" ht="12.75">
      <c r="A370" s="9"/>
      <c r="B370" s="14"/>
      <c r="C370" s="14">
        <v>4010</v>
      </c>
      <c r="D370" s="62" t="s">
        <v>14</v>
      </c>
      <c r="E370" s="16">
        <v>36116</v>
      </c>
      <c r="F370" s="16">
        <v>24352</v>
      </c>
      <c r="G370" s="16">
        <v>24351.17</v>
      </c>
      <c r="H370" s="61">
        <f t="shared" si="16"/>
        <v>99.99659165571616</v>
      </c>
    </row>
    <row r="371" spans="1:8" ht="12.75">
      <c r="A371" s="9"/>
      <c r="B371" s="14"/>
      <c r="C371" s="14">
        <v>4040</v>
      </c>
      <c r="D371" s="62" t="s">
        <v>15</v>
      </c>
      <c r="E371" s="16">
        <v>2956</v>
      </c>
      <c r="F371" s="16">
        <v>4997</v>
      </c>
      <c r="G371" s="16">
        <v>4996.95</v>
      </c>
      <c r="H371" s="61">
        <f t="shared" si="16"/>
        <v>99.99899939963977</v>
      </c>
    </row>
    <row r="372" spans="1:8" ht="12.75">
      <c r="A372" s="9"/>
      <c r="B372" s="14"/>
      <c r="C372" s="14">
        <v>4110</v>
      </c>
      <c r="D372" s="62" t="s">
        <v>16</v>
      </c>
      <c r="E372" s="16">
        <v>6941</v>
      </c>
      <c r="F372" s="16">
        <v>4906</v>
      </c>
      <c r="G372" s="16">
        <v>4905.86</v>
      </c>
      <c r="H372" s="61">
        <f t="shared" si="16"/>
        <v>99.99714635140643</v>
      </c>
    </row>
    <row r="373" spans="1:8" ht="12.75">
      <c r="A373" s="9"/>
      <c r="B373" s="14"/>
      <c r="C373" s="14">
        <v>4120</v>
      </c>
      <c r="D373" s="62" t="s">
        <v>17</v>
      </c>
      <c r="E373" s="16">
        <v>1120</v>
      </c>
      <c r="F373" s="16">
        <v>795</v>
      </c>
      <c r="G373" s="16">
        <v>794.06</v>
      </c>
      <c r="H373" s="61">
        <f t="shared" si="16"/>
        <v>99.88176100628931</v>
      </c>
    </row>
    <row r="374" spans="1:8" ht="25.5">
      <c r="A374" s="9"/>
      <c r="B374" s="14"/>
      <c r="C374" s="14">
        <v>4240</v>
      </c>
      <c r="D374" s="63" t="s">
        <v>41</v>
      </c>
      <c r="E374" s="16">
        <v>100</v>
      </c>
      <c r="F374" s="16">
        <v>0</v>
      </c>
      <c r="G374" s="16">
        <v>0</v>
      </c>
      <c r="H374" s="61">
        <v>0</v>
      </c>
    </row>
    <row r="375" spans="1:8" ht="25.5">
      <c r="A375" s="9"/>
      <c r="B375" s="14"/>
      <c r="C375" s="14">
        <v>4440</v>
      </c>
      <c r="D375" s="63" t="s">
        <v>21</v>
      </c>
      <c r="E375" s="16">
        <v>2396</v>
      </c>
      <c r="F375" s="16">
        <v>1677</v>
      </c>
      <c r="G375" s="16">
        <v>1677</v>
      </c>
      <c r="H375" s="61">
        <f>(G375/F375)*100</f>
        <v>100</v>
      </c>
    </row>
    <row r="376" spans="1:8" ht="25.5">
      <c r="A376" s="9">
        <v>801</v>
      </c>
      <c r="B376" s="9">
        <v>80146</v>
      </c>
      <c r="C376" s="14"/>
      <c r="D376" s="66" t="s">
        <v>49</v>
      </c>
      <c r="E376" s="19">
        <f>SUM(E377:E379)</f>
        <v>2350</v>
      </c>
      <c r="F376" s="19">
        <f>SUM(F377:F379)</f>
        <v>0</v>
      </c>
      <c r="G376" s="19">
        <f>SUM(G377:G379)</f>
        <v>0</v>
      </c>
      <c r="H376" s="60">
        <v>0</v>
      </c>
    </row>
    <row r="377" spans="1:8" ht="12.75">
      <c r="A377" s="9"/>
      <c r="B377" s="9"/>
      <c r="C377" s="14">
        <v>4210</v>
      </c>
      <c r="D377" s="62" t="s">
        <v>18</v>
      </c>
      <c r="E377" s="25">
        <v>800</v>
      </c>
      <c r="F377" s="25">
        <v>0</v>
      </c>
      <c r="G377" s="25">
        <v>0</v>
      </c>
      <c r="H377" s="61">
        <v>0</v>
      </c>
    </row>
    <row r="378" spans="1:8" ht="12.75">
      <c r="A378" s="9"/>
      <c r="B378" s="14"/>
      <c r="C378" s="14">
        <v>4300</v>
      </c>
      <c r="D378" s="62" t="s">
        <v>12</v>
      </c>
      <c r="E378" s="25">
        <v>1000</v>
      </c>
      <c r="F378" s="25">
        <v>0</v>
      </c>
      <c r="G378" s="25">
        <v>0</v>
      </c>
      <c r="H378" s="61">
        <v>0</v>
      </c>
    </row>
    <row r="379" spans="1:8" ht="12.75">
      <c r="A379" s="9"/>
      <c r="B379" s="14"/>
      <c r="C379" s="14">
        <v>4410</v>
      </c>
      <c r="D379" s="62" t="s">
        <v>19</v>
      </c>
      <c r="E379" s="25">
        <v>550</v>
      </c>
      <c r="F379" s="25">
        <v>0</v>
      </c>
      <c r="G379" s="25">
        <v>0</v>
      </c>
      <c r="H379" s="61">
        <v>0</v>
      </c>
    </row>
    <row r="380" spans="1:8" ht="12.75">
      <c r="A380" s="9">
        <v>801</v>
      </c>
      <c r="B380" s="9">
        <v>80195</v>
      </c>
      <c r="C380" s="14"/>
      <c r="D380" s="10" t="s">
        <v>32</v>
      </c>
      <c r="E380" s="19">
        <f>SUM(E381)</f>
        <v>2886</v>
      </c>
      <c r="F380" s="19">
        <f>SUM(F381:F381)</f>
        <v>2872</v>
      </c>
      <c r="G380" s="19">
        <f>SUM(G381:G381)</f>
        <v>2872</v>
      </c>
      <c r="H380" s="60">
        <f>(G380/F380)*100</f>
        <v>100</v>
      </c>
    </row>
    <row r="381" spans="1:8" ht="25.5">
      <c r="A381" s="9"/>
      <c r="B381" s="9"/>
      <c r="C381" s="14">
        <v>4440</v>
      </c>
      <c r="D381" s="63" t="s">
        <v>21</v>
      </c>
      <c r="E381" s="25">
        <v>2886</v>
      </c>
      <c r="F381" s="25">
        <v>2872</v>
      </c>
      <c r="G381" s="25">
        <v>2872</v>
      </c>
      <c r="H381" s="61">
        <f>(G381/F381)*100</f>
        <v>100</v>
      </c>
    </row>
    <row r="382" spans="1:8" ht="13.5">
      <c r="A382" s="9"/>
      <c r="B382" s="77"/>
      <c r="C382" s="78"/>
      <c r="D382" s="10" t="s">
        <v>33</v>
      </c>
      <c r="E382" s="19">
        <f>E380+E376+E368+E348</f>
        <v>493067</v>
      </c>
      <c r="F382" s="19">
        <f>F380+F376+F368+F348</f>
        <v>415663</v>
      </c>
      <c r="G382" s="19">
        <f>G380+G376+G368+G348</f>
        <v>415654.64999999997</v>
      </c>
      <c r="H382" s="60">
        <f>(G382/F382)*100</f>
        <v>99.99799116110887</v>
      </c>
    </row>
    <row r="383" spans="1:8" ht="12.75">
      <c r="A383" s="9">
        <v>852</v>
      </c>
      <c r="B383" s="80">
        <v>85295</v>
      </c>
      <c r="C383" s="9"/>
      <c r="D383" s="66" t="s">
        <v>32</v>
      </c>
      <c r="E383" s="11">
        <f>SUM(E384:E387)</f>
        <v>2000</v>
      </c>
      <c r="F383" s="11">
        <f>SUM(F384:F387)</f>
        <v>2000.21</v>
      </c>
      <c r="G383" s="11">
        <f>SUM(G384:G387)</f>
        <v>2000.21</v>
      </c>
      <c r="H383" s="60">
        <f>(G383/F383)*100</f>
        <v>100</v>
      </c>
    </row>
    <row r="384" spans="1:8" ht="12.75">
      <c r="A384" s="9"/>
      <c r="B384" s="81"/>
      <c r="C384" s="14">
        <v>4113</v>
      </c>
      <c r="D384" s="63" t="s">
        <v>51</v>
      </c>
      <c r="E384" s="16">
        <v>227</v>
      </c>
      <c r="F384" s="16">
        <v>2</v>
      </c>
      <c r="G384" s="16">
        <v>2</v>
      </c>
      <c r="H384" s="61">
        <f>(G384/F384)*100</f>
        <v>100</v>
      </c>
    </row>
    <row r="385" spans="1:8" ht="12.75">
      <c r="A385" s="9"/>
      <c r="B385" s="81"/>
      <c r="C385" s="14">
        <v>4123</v>
      </c>
      <c r="D385" s="62" t="s">
        <v>17</v>
      </c>
      <c r="E385" s="16">
        <v>37</v>
      </c>
      <c r="F385" s="16">
        <v>1</v>
      </c>
      <c r="G385" s="16">
        <v>1</v>
      </c>
      <c r="H385" s="61">
        <v>100</v>
      </c>
    </row>
    <row r="386" spans="1:8" ht="12.75">
      <c r="A386" s="9"/>
      <c r="B386" s="81" t="s">
        <v>53</v>
      </c>
      <c r="C386" s="81">
        <v>4173</v>
      </c>
      <c r="D386" s="62" t="s">
        <v>54</v>
      </c>
      <c r="E386" s="16">
        <v>1500</v>
      </c>
      <c r="F386" s="16">
        <v>17</v>
      </c>
      <c r="G386" s="16">
        <v>17</v>
      </c>
      <c r="H386" s="61">
        <f>(G386/F386)*100</f>
        <v>100</v>
      </c>
    </row>
    <row r="387" spans="1:8" ht="12.75">
      <c r="A387" s="9"/>
      <c r="B387" s="81"/>
      <c r="C387" s="81">
        <v>4213</v>
      </c>
      <c r="D387" s="62" t="s">
        <v>18</v>
      </c>
      <c r="E387" s="16">
        <v>236</v>
      </c>
      <c r="F387" s="16">
        <v>1980.21</v>
      </c>
      <c r="G387" s="16">
        <v>1980.21</v>
      </c>
      <c r="H387" s="61">
        <f>(G387/F387)*100</f>
        <v>100</v>
      </c>
    </row>
    <row r="388" spans="1:8" ht="12.75">
      <c r="A388" s="9"/>
      <c r="B388" s="14"/>
      <c r="C388" s="14"/>
      <c r="D388" s="10" t="s">
        <v>56</v>
      </c>
      <c r="E388" s="11">
        <f>E383</f>
        <v>2000</v>
      </c>
      <c r="F388" s="11">
        <f>F383</f>
        <v>2000.21</v>
      </c>
      <c r="G388" s="11">
        <f>G383</f>
        <v>2000.21</v>
      </c>
      <c r="H388" s="60">
        <f>(G388/F388)*100</f>
        <v>100</v>
      </c>
    </row>
    <row r="389" spans="1:8" ht="12.75">
      <c r="A389" s="9"/>
      <c r="B389" s="14"/>
      <c r="C389" s="14"/>
      <c r="D389" s="10" t="s">
        <v>37</v>
      </c>
      <c r="E389" s="19">
        <f>E388+E382</f>
        <v>495067</v>
      </c>
      <c r="F389" s="19">
        <f>F388+F382</f>
        <v>417663.21</v>
      </c>
      <c r="G389" s="19">
        <f>G388+G382</f>
        <v>417654.86</v>
      </c>
      <c r="H389" s="83">
        <v>100</v>
      </c>
    </row>
  </sheetData>
  <mergeCells count="12">
    <mergeCell ref="A291:H291"/>
    <mergeCell ref="A292:G292"/>
    <mergeCell ref="A344:H344"/>
    <mergeCell ref="A345:G345"/>
    <mergeCell ref="A159:H159"/>
    <mergeCell ref="A160:G160"/>
    <mergeCell ref="A231:H231"/>
    <mergeCell ref="A232:G232"/>
    <mergeCell ref="A1:H1"/>
    <mergeCell ref="A2:G2"/>
    <mergeCell ref="A46:H46"/>
    <mergeCell ref="A47:G4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4"/>
  <sheetViews>
    <sheetView workbookViewId="0" topLeftCell="A88">
      <selection activeCell="A99" sqref="A99"/>
    </sheetView>
  </sheetViews>
  <sheetFormatPr defaultColWidth="9.140625" defaultRowHeight="12.75"/>
  <cols>
    <col min="1" max="1" width="3.00390625" style="0" customWidth="1"/>
    <col min="2" max="2" width="9.00390625" style="0" customWidth="1"/>
    <col min="3" max="4" width="7.7109375" style="0" customWidth="1"/>
    <col min="5" max="6" width="10.57421875" style="0" customWidth="1"/>
    <col min="7" max="7" width="10.140625" style="0" customWidth="1"/>
    <col min="8" max="8" width="6.00390625" style="0" customWidth="1"/>
    <col min="9" max="16384" width="11.57421875" style="0" customWidth="1"/>
  </cols>
  <sheetData>
    <row r="2" spans="1:9" ht="14.25">
      <c r="A2" s="84" t="s">
        <v>64</v>
      </c>
      <c r="I2" s="85"/>
    </row>
    <row r="3" spans="1:9" ht="15.75">
      <c r="A3" s="125" t="s">
        <v>65</v>
      </c>
      <c r="B3" s="125"/>
      <c r="C3" s="125"/>
      <c r="D3" s="125"/>
      <c r="E3" s="125"/>
      <c r="F3" s="125"/>
      <c r="G3" s="125"/>
      <c r="H3" s="125"/>
      <c r="I3" s="85"/>
    </row>
    <row r="4" spans="1:9" ht="15.75">
      <c r="A4" s="87"/>
      <c r="I4" s="85"/>
    </row>
    <row r="5" spans="1:9" ht="13.5">
      <c r="A5" s="126" t="s">
        <v>66</v>
      </c>
      <c r="B5" s="126"/>
      <c r="C5" s="126"/>
      <c r="D5" s="126"/>
      <c r="E5" s="126"/>
      <c r="F5" s="126"/>
      <c r="G5" s="126"/>
      <c r="H5" s="126"/>
      <c r="I5" s="85"/>
    </row>
    <row r="6" spans="2:10" ht="14.25">
      <c r="B6" s="88"/>
      <c r="C6" s="88"/>
      <c r="D6" s="88"/>
      <c r="E6" s="88"/>
      <c r="F6" s="88"/>
      <c r="G6" s="88"/>
      <c r="H6" s="88"/>
      <c r="I6" s="88"/>
      <c r="J6" s="85"/>
    </row>
    <row r="7" spans="2:10" ht="15">
      <c r="B7" s="89" t="s">
        <v>67</v>
      </c>
      <c r="C7" s="88"/>
      <c r="D7" s="88"/>
      <c r="E7" s="88"/>
      <c r="F7" s="88"/>
      <c r="G7" s="88"/>
      <c r="H7" s="88"/>
      <c r="I7" s="88"/>
      <c r="J7" s="85"/>
    </row>
    <row r="8" spans="2:10" ht="24">
      <c r="B8" s="90" t="s">
        <v>68</v>
      </c>
      <c r="C8" s="90" t="s">
        <v>69</v>
      </c>
      <c r="D8" s="90" t="s">
        <v>70</v>
      </c>
      <c r="E8" s="91" t="s">
        <v>71</v>
      </c>
      <c r="F8" s="91" t="s">
        <v>72</v>
      </c>
      <c r="G8" s="91" t="s">
        <v>73</v>
      </c>
      <c r="H8" s="90" t="s">
        <v>9</v>
      </c>
      <c r="I8" s="88"/>
      <c r="J8" s="85"/>
    </row>
    <row r="9" spans="2:10" ht="14.25">
      <c r="B9" s="90">
        <v>801</v>
      </c>
      <c r="C9" s="90">
        <v>80101</v>
      </c>
      <c r="D9" s="90" t="s">
        <v>74</v>
      </c>
      <c r="E9" s="92">
        <v>9300</v>
      </c>
      <c r="F9" s="92">
        <v>9300</v>
      </c>
      <c r="G9" s="92">
        <v>31760.59</v>
      </c>
      <c r="H9" s="93">
        <f>G9/F9*100</f>
        <v>341.5117204301075</v>
      </c>
      <c r="I9" s="88"/>
      <c r="J9" s="85"/>
    </row>
    <row r="10" spans="2:10" ht="14.25">
      <c r="B10" s="90">
        <v>801</v>
      </c>
      <c r="C10" s="90">
        <v>80101</v>
      </c>
      <c r="D10" s="90" t="s">
        <v>75</v>
      </c>
      <c r="E10" s="92">
        <v>300</v>
      </c>
      <c r="F10" s="92">
        <v>300</v>
      </c>
      <c r="G10" s="92">
        <v>191.88</v>
      </c>
      <c r="H10" s="93">
        <v>0</v>
      </c>
      <c r="I10" s="88"/>
      <c r="J10" s="85"/>
    </row>
    <row r="11" spans="2:10" ht="14.25">
      <c r="B11" s="90">
        <v>801</v>
      </c>
      <c r="C11" s="90">
        <v>80101</v>
      </c>
      <c r="D11" s="90" t="s">
        <v>76</v>
      </c>
      <c r="E11" s="92">
        <v>5000</v>
      </c>
      <c r="F11" s="92">
        <v>5000</v>
      </c>
      <c r="G11" s="92">
        <v>12372.2</v>
      </c>
      <c r="H11" s="93">
        <f>G11/F11*100</f>
        <v>247.444</v>
      </c>
      <c r="I11" s="88"/>
      <c r="J11" s="85"/>
    </row>
    <row r="12" spans="2:10" ht="14.25">
      <c r="B12" s="127" t="s">
        <v>77</v>
      </c>
      <c r="C12" s="127"/>
      <c r="D12" s="127"/>
      <c r="E12" s="94">
        <f>SUM(E9:E11)</f>
        <v>14600</v>
      </c>
      <c r="F12" s="94">
        <f>SUM(F9:F11)</f>
        <v>14600</v>
      </c>
      <c r="G12" s="94">
        <f>SUM(G9:G11)</f>
        <v>44324.67</v>
      </c>
      <c r="H12" s="95">
        <f>G12/F12*100</f>
        <v>303.5936301369863</v>
      </c>
      <c r="I12" s="88"/>
      <c r="J12" s="85"/>
    </row>
    <row r="13" spans="2:10" ht="14.25">
      <c r="B13" s="96"/>
      <c r="C13" s="96"/>
      <c r="D13" s="96"/>
      <c r="E13" s="97"/>
      <c r="F13" s="97"/>
      <c r="G13" s="97"/>
      <c r="H13" s="97"/>
      <c r="I13" s="88"/>
      <c r="J13" s="85"/>
    </row>
    <row r="14" spans="2:10" ht="14.25">
      <c r="B14" s="96"/>
      <c r="C14" s="96"/>
      <c r="D14" s="96"/>
      <c r="E14" s="97"/>
      <c r="F14" s="97"/>
      <c r="G14" s="97"/>
      <c r="H14" s="97"/>
      <c r="I14" s="88"/>
      <c r="J14" s="85"/>
    </row>
    <row r="15" spans="2:10" ht="15">
      <c r="B15" s="89" t="s">
        <v>78</v>
      </c>
      <c r="C15" s="88"/>
      <c r="D15" s="88"/>
      <c r="E15" s="88"/>
      <c r="F15" s="88"/>
      <c r="G15" s="88"/>
      <c r="H15" s="88"/>
      <c r="I15" s="88"/>
      <c r="J15" s="85"/>
    </row>
    <row r="16" spans="2:10" ht="24">
      <c r="B16" s="90" t="s">
        <v>68</v>
      </c>
      <c r="C16" s="90" t="s">
        <v>69</v>
      </c>
      <c r="D16" s="90" t="s">
        <v>70</v>
      </c>
      <c r="E16" s="91" t="s">
        <v>71</v>
      </c>
      <c r="F16" s="91" t="s">
        <v>72</v>
      </c>
      <c r="G16" s="91" t="s">
        <v>73</v>
      </c>
      <c r="H16" s="90" t="s">
        <v>9</v>
      </c>
      <c r="I16" s="88"/>
      <c r="J16" s="85"/>
    </row>
    <row r="17" spans="2:10" ht="14.25">
      <c r="B17" s="90">
        <v>801</v>
      </c>
      <c r="C17" s="90">
        <v>80101</v>
      </c>
      <c r="D17" s="90">
        <v>2400</v>
      </c>
      <c r="E17" s="98">
        <v>0</v>
      </c>
      <c r="F17" s="98">
        <v>0</v>
      </c>
      <c r="G17" s="98">
        <v>20.76</v>
      </c>
      <c r="H17" s="99">
        <v>0</v>
      </c>
      <c r="I17" s="88"/>
      <c r="J17" s="85"/>
    </row>
    <row r="18" spans="2:10" ht="14.25">
      <c r="B18" s="90">
        <v>801</v>
      </c>
      <c r="C18" s="90">
        <v>80101</v>
      </c>
      <c r="D18" s="90">
        <v>4210</v>
      </c>
      <c r="E18" s="92">
        <v>12000</v>
      </c>
      <c r="F18" s="92">
        <v>12000</v>
      </c>
      <c r="G18" s="92">
        <v>25226.89</v>
      </c>
      <c r="H18" s="99">
        <f aca="true" t="shared" si="0" ref="H18:H23">G18/F18*100</f>
        <v>210.2240833333333</v>
      </c>
      <c r="I18" s="88"/>
      <c r="J18" s="85"/>
    </row>
    <row r="19" spans="2:10" ht="14.25">
      <c r="B19" s="90">
        <v>801</v>
      </c>
      <c r="C19" s="90">
        <v>80101</v>
      </c>
      <c r="D19" s="90">
        <v>4240</v>
      </c>
      <c r="E19" s="92">
        <v>1000</v>
      </c>
      <c r="F19" s="92">
        <v>1000</v>
      </c>
      <c r="G19" s="92">
        <v>858.88</v>
      </c>
      <c r="H19" s="99">
        <f t="shared" si="0"/>
        <v>85.88799999999999</v>
      </c>
      <c r="I19" s="88"/>
      <c r="J19" s="85"/>
    </row>
    <row r="20" spans="2:10" ht="14.25">
      <c r="B20" s="90">
        <v>801</v>
      </c>
      <c r="C20" s="90">
        <v>80101</v>
      </c>
      <c r="D20" s="90">
        <v>4260</v>
      </c>
      <c r="E20" s="92">
        <v>6000</v>
      </c>
      <c r="F20" s="92">
        <v>6000</v>
      </c>
      <c r="G20" s="92">
        <v>7745.12</v>
      </c>
      <c r="H20" s="99">
        <f t="shared" si="0"/>
        <v>129.08533333333335</v>
      </c>
      <c r="I20" s="88"/>
      <c r="J20" s="85"/>
    </row>
    <row r="21" spans="2:10" ht="14.25">
      <c r="B21" s="90">
        <v>801</v>
      </c>
      <c r="C21" s="90">
        <v>80101</v>
      </c>
      <c r="D21" s="90">
        <v>4300</v>
      </c>
      <c r="E21" s="92">
        <v>17000</v>
      </c>
      <c r="F21" s="92">
        <v>17000</v>
      </c>
      <c r="G21" s="92">
        <v>31912.02</v>
      </c>
      <c r="H21" s="99">
        <f t="shared" si="0"/>
        <v>187.71776470588236</v>
      </c>
      <c r="I21" s="88"/>
      <c r="J21" s="85"/>
    </row>
    <row r="22" spans="2:10" ht="14.25">
      <c r="B22" s="90">
        <v>801</v>
      </c>
      <c r="C22" s="90">
        <v>80101</v>
      </c>
      <c r="D22" s="90">
        <v>4740</v>
      </c>
      <c r="E22" s="92">
        <v>600</v>
      </c>
      <c r="F22" s="92">
        <v>600</v>
      </c>
      <c r="G22" s="92">
        <v>561</v>
      </c>
      <c r="H22" s="99">
        <f t="shared" si="0"/>
        <v>93.5</v>
      </c>
      <c r="I22" s="88"/>
      <c r="J22" s="85"/>
    </row>
    <row r="23" spans="2:10" ht="14.25">
      <c r="B23" s="127" t="s">
        <v>77</v>
      </c>
      <c r="C23" s="127"/>
      <c r="D23" s="127"/>
      <c r="E23" s="94">
        <f>SUM(E17:E22)</f>
        <v>36600</v>
      </c>
      <c r="F23" s="94">
        <f>SUM(F17:F22)</f>
        <v>36600</v>
      </c>
      <c r="G23" s="94">
        <f>SUM(G17:G22)</f>
        <v>66324.67</v>
      </c>
      <c r="H23" s="100">
        <f t="shared" si="0"/>
        <v>181.21494535519125</v>
      </c>
      <c r="I23" s="88"/>
      <c r="J23" s="85"/>
    </row>
    <row r="24" spans="2:10" ht="14.25">
      <c r="B24" s="128" t="s">
        <v>79</v>
      </c>
      <c r="C24" s="128"/>
      <c r="D24" s="128"/>
      <c r="E24" s="128"/>
      <c r="F24" s="128"/>
      <c r="G24" s="129">
        <v>22000</v>
      </c>
      <c r="H24" s="129"/>
      <c r="I24" s="88"/>
      <c r="J24" s="85"/>
    </row>
    <row r="25" spans="2:10" ht="14.25">
      <c r="B25" s="128" t="s">
        <v>80</v>
      </c>
      <c r="C25" s="128"/>
      <c r="D25" s="128"/>
      <c r="E25" s="128"/>
      <c r="F25" s="128"/>
      <c r="G25" s="130">
        <v>0</v>
      </c>
      <c r="H25" s="130"/>
      <c r="I25" s="88"/>
      <c r="J25" s="85"/>
    </row>
    <row r="26" spans="2:10" ht="14.25">
      <c r="B26" s="88"/>
      <c r="C26" s="88"/>
      <c r="D26" s="88"/>
      <c r="E26" s="88"/>
      <c r="F26" s="88"/>
      <c r="G26" s="88"/>
      <c r="H26" s="88"/>
      <c r="I26" s="88"/>
      <c r="J26" s="85"/>
    </row>
    <row r="27" spans="2:10" ht="15.75">
      <c r="B27" s="87" t="s">
        <v>81</v>
      </c>
      <c r="G27" s="88"/>
      <c r="H27" s="88"/>
      <c r="I27" s="88"/>
      <c r="J27" s="85"/>
    </row>
    <row r="28" spans="2:10" ht="15.75">
      <c r="B28" s="87"/>
      <c r="G28" s="88"/>
      <c r="H28" s="88"/>
      <c r="I28" s="88"/>
      <c r="J28" s="85"/>
    </row>
    <row r="29" spans="2:10" ht="15.75">
      <c r="B29" s="87"/>
      <c r="G29" s="88"/>
      <c r="H29" s="88"/>
      <c r="I29" s="88"/>
      <c r="J29" s="85"/>
    </row>
    <row r="30" spans="2:10" ht="15.75">
      <c r="B30" s="87"/>
      <c r="G30" s="88"/>
      <c r="H30" s="88"/>
      <c r="I30" s="88"/>
      <c r="J30" s="85"/>
    </row>
    <row r="31" spans="2:10" ht="15.75">
      <c r="B31" s="87"/>
      <c r="G31" s="88"/>
      <c r="H31" s="88"/>
      <c r="I31" s="88"/>
      <c r="J31" s="85"/>
    </row>
    <row r="32" spans="2:10" ht="15.75">
      <c r="B32" s="87"/>
      <c r="G32" s="88"/>
      <c r="H32" s="88"/>
      <c r="I32" s="88"/>
      <c r="J32" s="85"/>
    </row>
    <row r="33" spans="2:10" ht="15.75">
      <c r="B33" s="87"/>
      <c r="G33" s="88"/>
      <c r="H33" s="88"/>
      <c r="I33" s="88"/>
      <c r="J33" s="85"/>
    </row>
    <row r="34" spans="2:10" ht="15.75">
      <c r="B34" s="87"/>
      <c r="G34" s="88"/>
      <c r="H34" s="88"/>
      <c r="I34" s="88"/>
      <c r="J34" s="85"/>
    </row>
    <row r="35" spans="2:10" ht="15.75">
      <c r="B35" s="87"/>
      <c r="G35" s="88"/>
      <c r="H35" s="88"/>
      <c r="I35" s="88"/>
      <c r="J35" s="85"/>
    </row>
    <row r="36" spans="2:10" ht="15.75">
      <c r="B36" s="87"/>
      <c r="G36" s="88"/>
      <c r="H36" s="88"/>
      <c r="I36" s="88"/>
      <c r="J36" s="85"/>
    </row>
    <row r="37" spans="2:10" ht="15.75">
      <c r="B37" s="87"/>
      <c r="G37" s="88"/>
      <c r="H37" s="88"/>
      <c r="I37" s="88"/>
      <c r="J37" s="85"/>
    </row>
    <row r="38" spans="2:10" ht="15.75">
      <c r="B38" s="87"/>
      <c r="G38" s="88"/>
      <c r="H38" s="88"/>
      <c r="I38" s="88"/>
      <c r="J38" s="85"/>
    </row>
    <row r="39" spans="2:10" ht="15.75">
      <c r="B39" s="87"/>
      <c r="G39" s="88"/>
      <c r="H39" s="88"/>
      <c r="I39" s="88"/>
      <c r="J39" s="85"/>
    </row>
    <row r="40" spans="2:10" ht="15.75">
      <c r="B40" s="87"/>
      <c r="G40" s="88"/>
      <c r="H40" s="88"/>
      <c r="I40" s="88"/>
      <c r="J40" s="85"/>
    </row>
    <row r="41" spans="2:10" ht="15.75">
      <c r="B41" s="87"/>
      <c r="G41" s="88"/>
      <c r="H41" s="88"/>
      <c r="I41" s="88"/>
      <c r="J41" s="85"/>
    </row>
    <row r="42" spans="2:10" ht="15.75">
      <c r="B42" s="87"/>
      <c r="G42" s="88"/>
      <c r="H42" s="88"/>
      <c r="I42" s="88"/>
      <c r="J42" s="85"/>
    </row>
    <row r="43" spans="2:10" ht="15.75">
      <c r="B43" s="87"/>
      <c r="G43" s="88"/>
      <c r="H43" s="88"/>
      <c r="I43" s="88"/>
      <c r="J43" s="85"/>
    </row>
    <row r="44" spans="2:10" ht="15.75">
      <c r="B44" s="87"/>
      <c r="G44" s="88"/>
      <c r="H44" s="88"/>
      <c r="I44" s="88"/>
      <c r="J44" s="85"/>
    </row>
    <row r="45" spans="2:10" ht="15.75">
      <c r="B45" s="87"/>
      <c r="G45" s="88"/>
      <c r="H45" s="88"/>
      <c r="I45" s="88"/>
      <c r="J45" s="85"/>
    </row>
    <row r="46" spans="2:10" ht="15.75">
      <c r="B46" s="87"/>
      <c r="G46" s="88"/>
      <c r="H46" s="88"/>
      <c r="I46" s="88"/>
      <c r="J46" s="85"/>
    </row>
    <row r="47" spans="2:10" ht="14.25">
      <c r="B47" s="88"/>
      <c r="C47" s="88"/>
      <c r="D47" s="88"/>
      <c r="E47" s="88"/>
      <c r="F47" s="88"/>
      <c r="G47" s="88"/>
      <c r="H47" s="101"/>
      <c r="I47" s="101"/>
      <c r="J47" s="101"/>
    </row>
    <row r="50" spans="1:8" ht="15">
      <c r="A50" s="102" t="s">
        <v>64</v>
      </c>
      <c r="B50" s="101"/>
      <c r="C50" s="101"/>
      <c r="D50" s="101"/>
      <c r="E50" s="101"/>
      <c r="F50" s="101"/>
      <c r="G50" s="101"/>
      <c r="H50" s="101"/>
    </row>
    <row r="51" spans="1:8" ht="15">
      <c r="A51" s="103" t="s">
        <v>82</v>
      </c>
      <c r="B51" s="101"/>
      <c r="C51" s="101"/>
      <c r="D51" s="101"/>
      <c r="E51" s="101"/>
      <c r="F51" s="101"/>
      <c r="G51" s="101"/>
      <c r="H51" s="101"/>
    </row>
    <row r="52" spans="1:8" ht="15">
      <c r="A52" s="103"/>
      <c r="B52" s="101"/>
      <c r="C52" s="101"/>
      <c r="D52" s="101"/>
      <c r="E52" s="101"/>
      <c r="F52" s="101"/>
      <c r="G52" s="101"/>
      <c r="H52" s="101"/>
    </row>
    <row r="53" spans="1:9" ht="15">
      <c r="A53" s="131" t="s">
        <v>83</v>
      </c>
      <c r="B53" s="131"/>
      <c r="C53" s="131"/>
      <c r="D53" s="131"/>
      <c r="E53" s="131"/>
      <c r="F53" s="131"/>
      <c r="G53" s="131"/>
      <c r="H53" s="131"/>
      <c r="I53" s="131"/>
    </row>
    <row r="54" spans="2:9" ht="15">
      <c r="B54" s="102"/>
      <c r="C54" s="101"/>
      <c r="D54" s="101"/>
      <c r="E54" s="101"/>
      <c r="F54" s="101"/>
      <c r="G54" s="101"/>
      <c r="H54" s="101"/>
      <c r="I54" s="101"/>
    </row>
    <row r="55" spans="2:9" ht="14.25">
      <c r="B55" s="101"/>
      <c r="C55" s="101"/>
      <c r="D55" s="101"/>
      <c r="E55" s="101"/>
      <c r="F55" s="101"/>
      <c r="G55" s="101"/>
      <c r="H55" s="101"/>
      <c r="I55" s="101"/>
    </row>
    <row r="56" spans="2:9" ht="14.25">
      <c r="B56" s="101"/>
      <c r="C56" s="101"/>
      <c r="D56" s="101"/>
      <c r="E56" s="101"/>
      <c r="F56" s="101"/>
      <c r="G56" s="101"/>
      <c r="H56" s="101"/>
      <c r="I56" s="101"/>
    </row>
    <row r="57" spans="2:9" ht="15">
      <c r="B57" s="102" t="s">
        <v>67</v>
      </c>
      <c r="C57" s="101"/>
      <c r="D57" s="101"/>
      <c r="E57" s="101"/>
      <c r="F57" s="101"/>
      <c r="G57" s="101"/>
      <c r="H57" s="101"/>
      <c r="I57" s="101"/>
    </row>
    <row r="58" spans="2:9" ht="15">
      <c r="B58" s="102"/>
      <c r="C58" s="101"/>
      <c r="D58" s="101"/>
      <c r="E58" s="101"/>
      <c r="F58" s="101"/>
      <c r="G58" s="101"/>
      <c r="H58" s="101"/>
      <c r="I58" s="101"/>
    </row>
    <row r="59" spans="2:9" ht="24">
      <c r="B59" s="104" t="s">
        <v>68</v>
      </c>
      <c r="C59" s="104" t="s">
        <v>84</v>
      </c>
      <c r="D59" s="104" t="s">
        <v>4</v>
      </c>
      <c r="E59" s="105" t="s">
        <v>85</v>
      </c>
      <c r="F59" s="105" t="s">
        <v>86</v>
      </c>
      <c r="G59" s="104" t="s">
        <v>8</v>
      </c>
      <c r="H59" s="106" t="s">
        <v>9</v>
      </c>
      <c r="I59" s="101"/>
    </row>
    <row r="60" spans="2:9" ht="14.25">
      <c r="B60" s="107">
        <v>801</v>
      </c>
      <c r="C60" s="107">
        <v>80101</v>
      </c>
      <c r="D60" s="107" t="s">
        <v>87</v>
      </c>
      <c r="E60" s="108">
        <v>5300</v>
      </c>
      <c r="F60" s="108">
        <v>5300</v>
      </c>
      <c r="G60" s="108">
        <v>5670.69</v>
      </c>
      <c r="H60" s="109">
        <f>G60/F60*100</f>
        <v>106.99415094339622</v>
      </c>
      <c r="I60" s="101"/>
    </row>
    <row r="61" spans="2:9" ht="14.25">
      <c r="B61" s="107">
        <v>801</v>
      </c>
      <c r="C61" s="107">
        <v>80101</v>
      </c>
      <c r="D61" s="107" t="s">
        <v>88</v>
      </c>
      <c r="E61" s="108">
        <v>0</v>
      </c>
      <c r="F61" s="108">
        <v>0</v>
      </c>
      <c r="G61" s="108">
        <v>7.79</v>
      </c>
      <c r="H61" s="109">
        <v>0</v>
      </c>
      <c r="I61" s="101"/>
    </row>
    <row r="62" spans="2:9" ht="14.25">
      <c r="B62" s="132" t="s">
        <v>77</v>
      </c>
      <c r="C62" s="132"/>
      <c r="D62" s="132"/>
      <c r="E62" s="110">
        <f>SUM(E60:E61)</f>
        <v>5300</v>
      </c>
      <c r="F62" s="110">
        <f>SUM(F60:F61)</f>
        <v>5300</v>
      </c>
      <c r="G62" s="110">
        <f>SUM(G60:G61)</f>
        <v>5678.48</v>
      </c>
      <c r="H62" s="111">
        <f>G62/F62*100</f>
        <v>107.14113207547169</v>
      </c>
      <c r="I62" s="101"/>
    </row>
    <row r="63" spans="2:9" ht="14.25">
      <c r="B63" s="101"/>
      <c r="C63" s="101"/>
      <c r="D63" s="101"/>
      <c r="E63" s="101"/>
      <c r="F63" s="101"/>
      <c r="G63" s="101"/>
      <c r="H63" s="101"/>
      <c r="I63" s="101"/>
    </row>
    <row r="64" spans="2:9" ht="15">
      <c r="B64" s="102"/>
      <c r="C64" s="101"/>
      <c r="D64" s="101"/>
      <c r="E64" s="101"/>
      <c r="F64" s="101"/>
      <c r="G64" s="101"/>
      <c r="H64" s="101"/>
      <c r="I64" s="101"/>
    </row>
    <row r="65" spans="2:9" ht="14.25">
      <c r="B65" s="101"/>
      <c r="C65" s="101"/>
      <c r="D65" s="101"/>
      <c r="E65" s="101"/>
      <c r="F65" s="101"/>
      <c r="G65" s="101"/>
      <c r="H65" s="101"/>
      <c r="I65" s="101"/>
    </row>
    <row r="66" spans="2:9" ht="15">
      <c r="B66" s="102" t="s">
        <v>78</v>
      </c>
      <c r="C66" s="101"/>
      <c r="D66" s="101"/>
      <c r="E66" s="101"/>
      <c r="F66" s="101"/>
      <c r="G66" s="101"/>
      <c r="H66" s="101"/>
      <c r="I66" s="101"/>
    </row>
    <row r="67" spans="2:9" ht="15">
      <c r="B67" s="102"/>
      <c r="C67" s="101"/>
      <c r="D67" s="101"/>
      <c r="E67" s="101"/>
      <c r="F67" s="101"/>
      <c r="G67" s="101"/>
      <c r="H67" s="101"/>
      <c r="I67" s="101"/>
    </row>
    <row r="68" spans="2:9" ht="24">
      <c r="B68" s="104" t="s">
        <v>68</v>
      </c>
      <c r="C68" s="104" t="s">
        <v>84</v>
      </c>
      <c r="D68" s="104" t="s">
        <v>4</v>
      </c>
      <c r="E68" s="105" t="s">
        <v>85</v>
      </c>
      <c r="F68" s="105" t="s">
        <v>86</v>
      </c>
      <c r="G68" s="104" t="s">
        <v>8</v>
      </c>
      <c r="H68" s="106" t="s">
        <v>9</v>
      </c>
      <c r="I68" s="101"/>
    </row>
    <row r="69" spans="2:9" ht="14.25">
      <c r="B69" s="104">
        <v>801</v>
      </c>
      <c r="C69" s="104">
        <v>80101</v>
      </c>
      <c r="D69" s="104">
        <v>2400</v>
      </c>
      <c r="E69" s="112">
        <v>0</v>
      </c>
      <c r="F69" s="112">
        <v>0</v>
      </c>
      <c r="G69" s="113">
        <v>11.5</v>
      </c>
      <c r="H69" s="114">
        <v>0</v>
      </c>
      <c r="I69" s="101"/>
    </row>
    <row r="70" spans="2:9" ht="14.25">
      <c r="B70" s="104">
        <v>801</v>
      </c>
      <c r="C70" s="104">
        <v>80101</v>
      </c>
      <c r="D70" s="104">
        <v>4170</v>
      </c>
      <c r="E70" s="112">
        <v>0</v>
      </c>
      <c r="F70" s="112">
        <v>0</v>
      </c>
      <c r="G70" s="113">
        <v>800</v>
      </c>
      <c r="H70" s="114">
        <v>0</v>
      </c>
      <c r="I70" s="101"/>
    </row>
    <row r="71" spans="2:9" ht="14.25">
      <c r="B71" s="107">
        <v>801</v>
      </c>
      <c r="C71" s="107">
        <v>80101</v>
      </c>
      <c r="D71" s="107">
        <v>4210</v>
      </c>
      <c r="E71" s="108">
        <v>4000</v>
      </c>
      <c r="F71" s="108">
        <v>4000</v>
      </c>
      <c r="G71" s="108">
        <v>4025.32</v>
      </c>
      <c r="H71" s="109">
        <f>G71/F71*100</f>
        <v>100.633</v>
      </c>
      <c r="I71" s="101"/>
    </row>
    <row r="72" spans="2:9" ht="14.25">
      <c r="B72" s="107">
        <v>801</v>
      </c>
      <c r="C72" s="107">
        <v>80101</v>
      </c>
      <c r="D72" s="107">
        <v>4300</v>
      </c>
      <c r="E72" s="108">
        <v>1300</v>
      </c>
      <c r="F72" s="108">
        <v>1300</v>
      </c>
      <c r="G72" s="108">
        <v>841.66</v>
      </c>
      <c r="H72" s="109">
        <f>G72/F72*100</f>
        <v>64.74307692307693</v>
      </c>
      <c r="I72" s="101"/>
    </row>
    <row r="73" spans="2:9" ht="14.25">
      <c r="B73" s="132" t="s">
        <v>77</v>
      </c>
      <c r="C73" s="132"/>
      <c r="D73" s="132"/>
      <c r="E73" s="115">
        <f>SUM(E71:E72)</f>
        <v>5300</v>
      </c>
      <c r="F73" s="115">
        <f>SUM(F71:F72)</f>
        <v>5300</v>
      </c>
      <c r="G73" s="115">
        <f>SUM(G69:G72)</f>
        <v>5678.48</v>
      </c>
      <c r="H73" s="111">
        <f>G73/F73*100</f>
        <v>107.14113207547169</v>
      </c>
      <c r="I73" s="101"/>
    </row>
    <row r="74" spans="2:9" ht="14.25">
      <c r="B74" s="133" t="s">
        <v>89</v>
      </c>
      <c r="C74" s="133"/>
      <c r="D74" s="133"/>
      <c r="E74" s="133"/>
      <c r="F74" s="133"/>
      <c r="G74" s="134">
        <v>0</v>
      </c>
      <c r="H74" s="134"/>
      <c r="I74" s="101"/>
    </row>
    <row r="75" spans="2:9" ht="14.25">
      <c r="B75" s="116"/>
      <c r="C75" s="101"/>
      <c r="D75" s="101"/>
      <c r="E75" s="101"/>
      <c r="F75" s="101"/>
      <c r="G75" s="101"/>
      <c r="H75" s="101"/>
      <c r="I75" s="101"/>
    </row>
    <row r="76" spans="2:9" ht="15">
      <c r="B76" s="117"/>
      <c r="C76" s="101" t="s">
        <v>81</v>
      </c>
      <c r="D76" s="101"/>
      <c r="E76" s="101"/>
      <c r="F76" s="101"/>
      <c r="G76" s="101"/>
      <c r="H76" s="101"/>
      <c r="I76" s="101"/>
    </row>
    <row r="77" spans="2:9" ht="14.25">
      <c r="B77" s="101"/>
      <c r="C77" s="101"/>
      <c r="D77" s="101"/>
      <c r="E77" s="101"/>
      <c r="F77" s="101"/>
      <c r="G77" s="101"/>
      <c r="H77" s="101"/>
      <c r="I77" s="101"/>
    </row>
    <row r="78" spans="2:9" ht="14.25">
      <c r="B78" s="101"/>
      <c r="C78" s="101"/>
      <c r="D78" s="101"/>
      <c r="E78" s="101"/>
      <c r="F78" s="101"/>
      <c r="G78" s="101"/>
      <c r="H78" s="101"/>
      <c r="I78" s="101"/>
    </row>
    <row r="79" spans="2:9" ht="14.25">
      <c r="B79" s="101"/>
      <c r="C79" s="101"/>
      <c r="D79" s="101"/>
      <c r="E79" s="101"/>
      <c r="F79" s="101"/>
      <c r="G79" s="101"/>
      <c r="H79" s="101"/>
      <c r="I79" s="101"/>
    </row>
    <row r="80" spans="2:9" ht="14.25">
      <c r="B80" s="101"/>
      <c r="C80" s="101"/>
      <c r="D80" s="101"/>
      <c r="E80" s="101"/>
      <c r="F80" s="101"/>
      <c r="G80" s="101"/>
      <c r="H80" s="101"/>
      <c r="I80" s="101"/>
    </row>
    <row r="81" spans="2:9" ht="14.25">
      <c r="B81" s="101"/>
      <c r="C81" s="101"/>
      <c r="D81" s="101"/>
      <c r="E81" s="101"/>
      <c r="F81" s="101"/>
      <c r="G81" s="101"/>
      <c r="H81" s="101"/>
      <c r="I81" s="101"/>
    </row>
    <row r="82" spans="2:9" ht="14.25">
      <c r="B82" s="101"/>
      <c r="C82" s="101"/>
      <c r="D82" s="101"/>
      <c r="E82" s="101"/>
      <c r="F82" s="101"/>
      <c r="G82" s="101"/>
      <c r="H82" s="101"/>
      <c r="I82" s="101"/>
    </row>
    <row r="83" spans="2:9" ht="14.25">
      <c r="B83" s="101"/>
      <c r="C83" s="101"/>
      <c r="D83" s="101"/>
      <c r="E83" s="101"/>
      <c r="F83" s="101"/>
      <c r="G83" s="101"/>
      <c r="H83" s="101"/>
      <c r="I83" s="101"/>
    </row>
    <row r="84" spans="2:9" ht="14.25">
      <c r="B84" s="101"/>
      <c r="C84" s="101"/>
      <c r="D84" s="101"/>
      <c r="E84" s="101"/>
      <c r="F84" s="101"/>
      <c r="G84" s="101"/>
      <c r="H84" s="101"/>
      <c r="I84" s="101"/>
    </row>
    <row r="85" spans="2:9" ht="14.25">
      <c r="B85" s="101"/>
      <c r="C85" s="101"/>
      <c r="D85" s="101"/>
      <c r="E85" s="101"/>
      <c r="F85" s="101"/>
      <c r="G85" s="101"/>
      <c r="H85" s="101"/>
      <c r="I85" s="101"/>
    </row>
    <row r="86" spans="2:9" ht="14.25">
      <c r="B86" s="101"/>
      <c r="C86" s="101"/>
      <c r="D86" s="101"/>
      <c r="E86" s="101"/>
      <c r="F86" s="101"/>
      <c r="G86" s="101"/>
      <c r="H86" s="101"/>
      <c r="I86" s="101"/>
    </row>
    <row r="87" spans="2:9" ht="14.25">
      <c r="B87" s="101"/>
      <c r="C87" s="101"/>
      <c r="D87" s="101"/>
      <c r="E87" s="101"/>
      <c r="F87" s="101"/>
      <c r="G87" s="101"/>
      <c r="H87" s="101"/>
      <c r="I87" s="101"/>
    </row>
    <row r="88" spans="2:9" ht="14.25">
      <c r="B88" s="101"/>
      <c r="C88" s="101"/>
      <c r="D88" s="101"/>
      <c r="E88" s="101"/>
      <c r="F88" s="101"/>
      <c r="G88" s="101"/>
      <c r="H88" s="101"/>
      <c r="I88" s="101"/>
    </row>
    <row r="89" spans="2:9" ht="14.25">
      <c r="B89" s="101"/>
      <c r="C89" s="101"/>
      <c r="D89" s="101"/>
      <c r="E89" s="101"/>
      <c r="F89" s="101"/>
      <c r="G89" s="101"/>
      <c r="H89" s="101"/>
      <c r="I89" s="101"/>
    </row>
    <row r="90" spans="2:9" ht="14.25">
      <c r="B90" s="101"/>
      <c r="C90" s="101"/>
      <c r="D90" s="101"/>
      <c r="E90" s="101"/>
      <c r="F90" s="101"/>
      <c r="G90" s="101"/>
      <c r="H90" s="101"/>
      <c r="I90" s="101"/>
    </row>
    <row r="91" spans="2:9" ht="14.25">
      <c r="B91" s="101"/>
      <c r="C91" s="101"/>
      <c r="D91" s="101"/>
      <c r="E91" s="101"/>
      <c r="F91" s="101"/>
      <c r="G91" s="101"/>
      <c r="H91" s="101"/>
      <c r="I91" s="101"/>
    </row>
    <row r="92" spans="2:9" ht="14.25">
      <c r="B92" s="101"/>
      <c r="C92" s="101"/>
      <c r="D92" s="101"/>
      <c r="E92" s="101"/>
      <c r="F92" s="101"/>
      <c r="G92" s="101"/>
      <c r="H92" s="101"/>
      <c r="I92" s="101"/>
    </row>
    <row r="93" spans="2:9" ht="14.25">
      <c r="B93" s="101"/>
      <c r="C93" s="101"/>
      <c r="D93" s="101"/>
      <c r="E93" s="101"/>
      <c r="F93" s="101"/>
      <c r="G93" s="101"/>
      <c r="H93" s="101"/>
      <c r="I93" s="101"/>
    </row>
    <row r="94" spans="2:9" ht="14.25">
      <c r="B94" s="101"/>
      <c r="C94" s="101"/>
      <c r="D94" s="101"/>
      <c r="E94" s="101"/>
      <c r="F94" s="101"/>
      <c r="G94" s="101"/>
      <c r="H94" s="101"/>
      <c r="I94" s="101"/>
    </row>
    <row r="95" spans="2:9" ht="14.25">
      <c r="B95" s="101"/>
      <c r="C95" s="101"/>
      <c r="D95" s="101"/>
      <c r="E95" s="101"/>
      <c r="F95" s="101"/>
      <c r="G95" s="101"/>
      <c r="H95" s="101"/>
      <c r="I95" s="101"/>
    </row>
    <row r="96" spans="2:9" ht="14.25">
      <c r="B96" s="101"/>
      <c r="C96" s="101"/>
      <c r="D96" s="101"/>
      <c r="E96" s="101"/>
      <c r="F96" s="101"/>
      <c r="G96" s="101"/>
      <c r="H96" s="101"/>
      <c r="I96" s="101"/>
    </row>
    <row r="97" spans="2:9" ht="14.25">
      <c r="B97" s="101"/>
      <c r="C97" s="101"/>
      <c r="D97" s="101"/>
      <c r="E97" s="101"/>
      <c r="F97" s="101"/>
      <c r="G97" s="101"/>
      <c r="H97" s="101"/>
      <c r="I97" s="101"/>
    </row>
    <row r="98" spans="2:9" ht="14.25">
      <c r="B98" s="101"/>
      <c r="C98" s="101"/>
      <c r="D98" s="101"/>
      <c r="E98" s="101"/>
      <c r="F98" s="101"/>
      <c r="G98" s="101"/>
      <c r="H98" s="101"/>
      <c r="I98" s="101"/>
    </row>
    <row r="100" ht="14.25">
      <c r="A100" s="84" t="s">
        <v>64</v>
      </c>
    </row>
    <row r="101" ht="15.75">
      <c r="A101" s="86" t="s">
        <v>90</v>
      </c>
    </row>
    <row r="102" ht="15.75">
      <c r="A102" s="87"/>
    </row>
    <row r="103" spans="1:9" ht="13.5">
      <c r="A103" s="135" t="s">
        <v>91</v>
      </c>
      <c r="B103" s="135"/>
      <c r="C103" s="135"/>
      <c r="D103" s="135"/>
      <c r="E103" s="135"/>
      <c r="F103" s="135"/>
      <c r="G103" s="135"/>
      <c r="H103" s="135"/>
      <c r="I103" s="135"/>
    </row>
    <row r="104" spans="2:9" ht="14.25">
      <c r="B104" s="88"/>
      <c r="C104" s="88"/>
      <c r="D104" s="88"/>
      <c r="E104" s="88"/>
      <c r="F104" s="88"/>
      <c r="G104" s="88"/>
      <c r="H104" s="88"/>
      <c r="I104" s="88"/>
    </row>
    <row r="105" spans="2:9" ht="15">
      <c r="B105" s="89" t="s">
        <v>67</v>
      </c>
      <c r="C105" s="88"/>
      <c r="D105" s="88"/>
      <c r="E105" s="88"/>
      <c r="F105" s="88"/>
      <c r="G105" s="88"/>
      <c r="H105" s="88"/>
      <c r="I105" s="88"/>
    </row>
    <row r="106" spans="2:9" ht="24">
      <c r="B106" s="106" t="s">
        <v>68</v>
      </c>
      <c r="C106" s="106" t="s">
        <v>69</v>
      </c>
      <c r="D106" s="106" t="s">
        <v>70</v>
      </c>
      <c r="E106" s="105" t="s">
        <v>71</v>
      </c>
      <c r="F106" s="105" t="s">
        <v>72</v>
      </c>
      <c r="G106" s="105" t="s">
        <v>73</v>
      </c>
      <c r="H106" s="106" t="s">
        <v>9</v>
      </c>
      <c r="I106" s="88"/>
    </row>
    <row r="107" spans="2:9" ht="14.25">
      <c r="B107" s="106">
        <v>801</v>
      </c>
      <c r="C107" s="106">
        <v>80101</v>
      </c>
      <c r="D107" s="106" t="s">
        <v>74</v>
      </c>
      <c r="E107" s="118">
        <v>2900</v>
      </c>
      <c r="F107" s="118">
        <v>2900</v>
      </c>
      <c r="G107" s="118">
        <v>866</v>
      </c>
      <c r="H107" s="119">
        <f>G107/F107*100</f>
        <v>29.862068965517242</v>
      </c>
      <c r="I107" s="88"/>
    </row>
    <row r="108" spans="2:9" ht="14.25">
      <c r="B108" s="106">
        <v>801</v>
      </c>
      <c r="C108" s="106">
        <v>80101</v>
      </c>
      <c r="D108" s="106" t="s">
        <v>75</v>
      </c>
      <c r="E108" s="118">
        <v>0</v>
      </c>
      <c r="F108" s="118">
        <v>0</v>
      </c>
      <c r="G108" s="118">
        <v>22.08</v>
      </c>
      <c r="H108" s="119">
        <v>0</v>
      </c>
      <c r="I108" s="88"/>
    </row>
    <row r="109" spans="2:9" ht="14.25">
      <c r="B109" s="106">
        <v>801</v>
      </c>
      <c r="C109" s="106">
        <v>80101</v>
      </c>
      <c r="D109" s="106" t="s">
        <v>76</v>
      </c>
      <c r="E109" s="118">
        <v>1100</v>
      </c>
      <c r="F109" s="118">
        <v>1100</v>
      </c>
      <c r="G109" s="118">
        <v>7147</v>
      </c>
      <c r="H109" s="119">
        <f>G109/F109*100</f>
        <v>649.7272727272727</v>
      </c>
      <c r="I109" s="88"/>
    </row>
    <row r="110" spans="2:9" ht="14.25">
      <c r="B110" s="136" t="s">
        <v>77</v>
      </c>
      <c r="C110" s="136"/>
      <c r="D110" s="136"/>
      <c r="E110" s="120">
        <f>SUM(E107:E109)</f>
        <v>4000</v>
      </c>
      <c r="F110" s="120">
        <f>SUM(F107:F109)</f>
        <v>4000</v>
      </c>
      <c r="G110" s="120">
        <f>SUM(G107:G109)</f>
        <v>8035.08</v>
      </c>
      <c r="H110" s="121">
        <f>G110/F110*100</f>
        <v>200.877</v>
      </c>
      <c r="I110" s="88"/>
    </row>
    <row r="111" spans="2:9" ht="14.25">
      <c r="B111" s="96"/>
      <c r="C111" s="96"/>
      <c r="D111" s="96"/>
      <c r="E111" s="97"/>
      <c r="F111" s="97"/>
      <c r="G111" s="97"/>
      <c r="H111" s="97"/>
      <c r="I111" s="88"/>
    </row>
    <row r="112" spans="2:9" ht="14.25">
      <c r="B112" s="96"/>
      <c r="C112" s="96"/>
      <c r="D112" s="96"/>
      <c r="E112" s="97"/>
      <c r="F112" s="97"/>
      <c r="G112" s="97"/>
      <c r="H112" s="97"/>
      <c r="I112" s="88"/>
    </row>
    <row r="113" spans="2:9" ht="15">
      <c r="B113" s="89" t="s">
        <v>78</v>
      </c>
      <c r="C113" s="88"/>
      <c r="D113" s="88"/>
      <c r="E113" s="88"/>
      <c r="F113" s="88"/>
      <c r="G113" s="88"/>
      <c r="H113" s="88"/>
      <c r="I113" s="88"/>
    </row>
    <row r="114" spans="2:9" ht="24">
      <c r="B114" s="90" t="s">
        <v>68</v>
      </c>
      <c r="C114" s="90" t="s">
        <v>69</v>
      </c>
      <c r="D114" s="90" t="s">
        <v>70</v>
      </c>
      <c r="E114" s="91" t="s">
        <v>71</v>
      </c>
      <c r="F114" s="91" t="s">
        <v>72</v>
      </c>
      <c r="G114" s="91" t="s">
        <v>73</v>
      </c>
      <c r="H114" s="90" t="s">
        <v>9</v>
      </c>
      <c r="I114" s="88"/>
    </row>
    <row r="115" spans="2:9" ht="14.25">
      <c r="B115" s="90">
        <v>801</v>
      </c>
      <c r="C115" s="90">
        <v>80101</v>
      </c>
      <c r="D115" s="90">
        <v>2400</v>
      </c>
      <c r="E115" s="98">
        <v>0</v>
      </c>
      <c r="F115" s="98">
        <v>0</v>
      </c>
      <c r="G115" s="98">
        <v>3.92</v>
      </c>
      <c r="H115" s="99">
        <v>0</v>
      </c>
      <c r="I115" s="88"/>
    </row>
    <row r="116" spans="2:9" ht="14.25">
      <c r="B116" s="90">
        <v>801</v>
      </c>
      <c r="C116" s="90">
        <v>80101</v>
      </c>
      <c r="D116" s="90">
        <v>4210</v>
      </c>
      <c r="E116" s="92">
        <v>3300</v>
      </c>
      <c r="F116" s="92">
        <v>3300</v>
      </c>
      <c r="G116" s="92">
        <v>7930.87</v>
      </c>
      <c r="H116" s="99">
        <f>G116/F116*100</f>
        <v>240.32939393939392</v>
      </c>
      <c r="I116" s="88"/>
    </row>
    <row r="117" spans="2:9" ht="14.25">
      <c r="B117" s="90">
        <v>801</v>
      </c>
      <c r="C117" s="90">
        <v>80101</v>
      </c>
      <c r="D117" s="90">
        <v>4240</v>
      </c>
      <c r="E117" s="92">
        <v>700</v>
      </c>
      <c r="F117" s="92">
        <v>700</v>
      </c>
      <c r="G117" s="92">
        <v>0</v>
      </c>
      <c r="H117" s="99">
        <f>G117/F117*100</f>
        <v>0</v>
      </c>
      <c r="I117" s="88"/>
    </row>
    <row r="118" spans="2:9" ht="14.25">
      <c r="B118" s="90">
        <v>801</v>
      </c>
      <c r="C118" s="90">
        <v>80101</v>
      </c>
      <c r="D118" s="90">
        <v>4300</v>
      </c>
      <c r="E118" s="92">
        <v>0</v>
      </c>
      <c r="F118" s="92">
        <v>0</v>
      </c>
      <c r="G118" s="92">
        <v>9100.29</v>
      </c>
      <c r="H118" s="99">
        <v>0</v>
      </c>
      <c r="I118" s="88"/>
    </row>
    <row r="119" spans="2:9" ht="14.25">
      <c r="B119" s="127" t="s">
        <v>77</v>
      </c>
      <c r="C119" s="127"/>
      <c r="D119" s="127"/>
      <c r="E119" s="94">
        <f>SUM(E115:E118)</f>
        <v>4000</v>
      </c>
      <c r="F119" s="94">
        <f>SUM(F115:F118)</f>
        <v>4000</v>
      </c>
      <c r="G119" s="94">
        <f>SUM(G115:G118)</f>
        <v>17035.08</v>
      </c>
      <c r="H119" s="100">
        <f>G119/F119*100</f>
        <v>425.877</v>
      </c>
      <c r="I119" s="88"/>
    </row>
    <row r="120" spans="2:9" ht="14.25">
      <c r="B120" s="128" t="s">
        <v>79</v>
      </c>
      <c r="C120" s="128"/>
      <c r="D120" s="128"/>
      <c r="E120" s="128"/>
      <c r="F120" s="128"/>
      <c r="G120" s="130">
        <v>9000</v>
      </c>
      <c r="H120" s="130"/>
      <c r="I120" s="88"/>
    </row>
    <row r="121" spans="2:9" ht="14.25">
      <c r="B121" s="128" t="s">
        <v>80</v>
      </c>
      <c r="C121" s="128"/>
      <c r="D121" s="128"/>
      <c r="E121" s="128"/>
      <c r="F121" s="128"/>
      <c r="G121" s="130">
        <v>0</v>
      </c>
      <c r="H121" s="130"/>
      <c r="I121" s="88"/>
    </row>
    <row r="122" spans="2:9" ht="14.25">
      <c r="B122" s="88"/>
      <c r="C122" s="88"/>
      <c r="D122" s="88"/>
      <c r="E122" s="88"/>
      <c r="F122" s="88"/>
      <c r="G122" s="88"/>
      <c r="H122" s="88"/>
      <c r="I122" s="88"/>
    </row>
    <row r="123" spans="2:9" ht="15.75">
      <c r="B123" s="87" t="s">
        <v>81</v>
      </c>
      <c r="G123" s="88"/>
      <c r="H123" s="88"/>
      <c r="I123" s="88"/>
    </row>
    <row r="124" spans="2:9" ht="15.75">
      <c r="B124" s="87"/>
      <c r="G124" s="88"/>
      <c r="H124" s="88"/>
      <c r="I124" s="88"/>
    </row>
  </sheetData>
  <mergeCells count="20">
    <mergeCell ref="B121:F121"/>
    <mergeCell ref="G121:H121"/>
    <mergeCell ref="A103:I103"/>
    <mergeCell ref="B110:D110"/>
    <mergeCell ref="B119:D119"/>
    <mergeCell ref="B120:F120"/>
    <mergeCell ref="G120:H120"/>
    <mergeCell ref="A53:I53"/>
    <mergeCell ref="B62:D62"/>
    <mergeCell ref="B73:D73"/>
    <mergeCell ref="B74:F74"/>
    <mergeCell ref="G74:H74"/>
    <mergeCell ref="B24:F24"/>
    <mergeCell ref="G24:H24"/>
    <mergeCell ref="B25:F25"/>
    <mergeCell ref="G25:H25"/>
    <mergeCell ref="A3:H3"/>
    <mergeCell ref="A5:H5"/>
    <mergeCell ref="B12:D12"/>
    <mergeCell ref="B23:D2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